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4320" windowWidth="15480" windowHeight="7440"/>
  </bookViews>
  <sheets>
    <sheet name="2562" sheetId="1" r:id="rId1"/>
    <sheet name="เงินกันปี 61" sheetId="14" r:id="rId2"/>
    <sheet name="เงินขยาย 60  ." sheetId="16" r:id="rId3"/>
    <sheet name="00712 ก่อสร้าง เงินกัน" sheetId="19" r:id="rId4"/>
    <sheet name="00743 ช่างกล 1เงินกันไม่มีหนี้" sheetId="2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calcPr calcId="145621"/>
</workbook>
</file>

<file path=xl/calcChain.xml><?xml version="1.0" encoding="utf-8"?>
<calcChain xmlns="http://schemas.openxmlformats.org/spreadsheetml/2006/main">
  <c r="G112" i="1" l="1"/>
  <c r="K135" i="1" l="1"/>
  <c r="K113" i="1" l="1"/>
  <c r="K112" i="1"/>
  <c r="K111" i="1"/>
  <c r="K7" i="19" l="1"/>
  <c r="K15" i="14" l="1"/>
  <c r="G118" i="1" l="1"/>
  <c r="G6" i="1"/>
  <c r="B16" i="1"/>
  <c r="G16" i="1"/>
  <c r="E16" i="1" s="1"/>
  <c r="M16" i="1" s="1"/>
  <c r="C16" i="1"/>
  <c r="H16" i="1"/>
  <c r="L16" i="1"/>
  <c r="R16" i="1"/>
  <c r="I16" i="1" l="1"/>
  <c r="S16" i="1"/>
  <c r="P16" i="1" s="1"/>
  <c r="Q16" i="1" s="1"/>
  <c r="G79" i="1" l="1"/>
  <c r="G143" i="1" l="1"/>
  <c r="G58" i="1" l="1"/>
  <c r="G142" i="1"/>
  <c r="O83" i="1"/>
  <c r="N83" i="1"/>
  <c r="K83" i="1"/>
  <c r="J83" i="1"/>
  <c r="F83" i="1"/>
  <c r="G98" i="1"/>
  <c r="E98" i="1" s="1"/>
  <c r="G97" i="1"/>
  <c r="G96" i="1"/>
  <c r="S96" i="1" s="1"/>
  <c r="G95" i="1"/>
  <c r="S95" i="1" s="1"/>
  <c r="P95" i="1" s="1"/>
  <c r="G94" i="1"/>
  <c r="C98" i="1"/>
  <c r="C97" i="1"/>
  <c r="C96" i="1"/>
  <c r="C95" i="1"/>
  <c r="C94" i="1"/>
  <c r="B98" i="1"/>
  <c r="B97" i="1"/>
  <c r="B96" i="1"/>
  <c r="B95" i="1"/>
  <c r="B94" i="1"/>
  <c r="H95" i="1"/>
  <c r="L95" i="1"/>
  <c r="R95" i="1"/>
  <c r="H96" i="1"/>
  <c r="L96" i="1"/>
  <c r="R96" i="1"/>
  <c r="E97" i="1"/>
  <c r="I97" i="1" s="1"/>
  <c r="H97" i="1"/>
  <c r="L97" i="1"/>
  <c r="R97" i="1"/>
  <c r="S97" i="1"/>
  <c r="H98" i="1"/>
  <c r="L98" i="1"/>
  <c r="R98" i="1"/>
  <c r="E94" i="1"/>
  <c r="H94" i="1"/>
  <c r="L94" i="1"/>
  <c r="R94" i="1"/>
  <c r="S94" i="1"/>
  <c r="M98" i="1" l="1"/>
  <c r="I98" i="1"/>
  <c r="S98" i="1"/>
  <c r="P98" i="1" s="1"/>
  <c r="Q98" i="1" s="1"/>
  <c r="P97" i="1"/>
  <c r="Q97" i="1" s="1"/>
  <c r="M97" i="1"/>
  <c r="E96" i="1"/>
  <c r="P96" i="1"/>
  <c r="Q95" i="1"/>
  <c r="E95" i="1"/>
  <c r="M95" i="1" s="1"/>
  <c r="I95" i="1"/>
  <c r="P94" i="1"/>
  <c r="Q94" i="1" s="1"/>
  <c r="I94" i="1"/>
  <c r="M94" i="1"/>
  <c r="G14" i="1"/>
  <c r="G31" i="1"/>
  <c r="G30" i="1"/>
  <c r="G29" i="1"/>
  <c r="G28" i="1"/>
  <c r="I96" i="1" l="1"/>
  <c r="M96" i="1"/>
  <c r="Q96" i="1"/>
  <c r="O120" i="1" l="1"/>
  <c r="J120" i="1"/>
  <c r="N120" i="1"/>
  <c r="K120" i="1"/>
  <c r="F120" i="1"/>
  <c r="B129" i="1"/>
  <c r="B128" i="1"/>
  <c r="B127" i="1"/>
  <c r="B126" i="1"/>
  <c r="B125" i="1"/>
  <c r="G129" i="1"/>
  <c r="E129" i="1" s="1"/>
  <c r="M129" i="1" s="1"/>
  <c r="G128" i="1"/>
  <c r="E128" i="1" s="1"/>
  <c r="I128" i="1" s="1"/>
  <c r="G127" i="1"/>
  <c r="G126" i="1"/>
  <c r="E126" i="1" s="1"/>
  <c r="M126" i="1" s="1"/>
  <c r="S129" i="1"/>
  <c r="P129" i="1" s="1"/>
  <c r="G125" i="1"/>
  <c r="E125" i="1" s="1"/>
  <c r="C126" i="1"/>
  <c r="C127" i="1"/>
  <c r="C128" i="1"/>
  <c r="C129" i="1"/>
  <c r="C125" i="1"/>
  <c r="H126" i="1"/>
  <c r="L126" i="1"/>
  <c r="R126" i="1"/>
  <c r="E127" i="1"/>
  <c r="I127" i="1" s="1"/>
  <c r="H127" i="1"/>
  <c r="L127" i="1"/>
  <c r="R127" i="1"/>
  <c r="S127" i="1"/>
  <c r="H128" i="1"/>
  <c r="L128" i="1"/>
  <c r="R128" i="1"/>
  <c r="H129" i="1"/>
  <c r="L129" i="1"/>
  <c r="R129" i="1"/>
  <c r="H125" i="1"/>
  <c r="L125" i="1"/>
  <c r="R125" i="1"/>
  <c r="Q129" i="1" l="1"/>
  <c r="M128" i="1"/>
  <c r="S128" i="1"/>
  <c r="P128" i="1" s="1"/>
  <c r="Q128" i="1" s="1"/>
  <c r="P127" i="1"/>
  <c r="Q127" i="1" s="1"/>
  <c r="I126" i="1"/>
  <c r="I129" i="1"/>
  <c r="M127" i="1"/>
  <c r="S126" i="1"/>
  <c r="P126" i="1" s="1"/>
  <c r="Q126" i="1" s="1"/>
  <c r="M125" i="1"/>
  <c r="I125" i="1"/>
  <c r="S125" i="1"/>
  <c r="P125" i="1" s="1"/>
  <c r="Q125" i="1" s="1"/>
  <c r="G93" i="1"/>
  <c r="S93" i="1" s="1"/>
  <c r="G92" i="1"/>
  <c r="E92" i="1" s="1"/>
  <c r="G91" i="1"/>
  <c r="S91" i="1" s="1"/>
  <c r="P91" i="1" s="1"/>
  <c r="G90" i="1"/>
  <c r="S90" i="1" s="1"/>
  <c r="P90" i="1" s="1"/>
  <c r="G89" i="1"/>
  <c r="E89" i="1" s="1"/>
  <c r="M89" i="1" s="1"/>
  <c r="B93" i="1"/>
  <c r="B92" i="1"/>
  <c r="B91" i="1"/>
  <c r="B90" i="1"/>
  <c r="B89" i="1"/>
  <c r="C93" i="1"/>
  <c r="C92" i="1"/>
  <c r="C91" i="1"/>
  <c r="C90" i="1"/>
  <c r="C89" i="1"/>
  <c r="E90" i="1"/>
  <c r="I90" i="1" s="1"/>
  <c r="H90" i="1"/>
  <c r="L90" i="1"/>
  <c r="R90" i="1"/>
  <c r="H91" i="1"/>
  <c r="L91" i="1"/>
  <c r="R91" i="1"/>
  <c r="H92" i="1"/>
  <c r="L92" i="1"/>
  <c r="R92" i="1"/>
  <c r="H93" i="1"/>
  <c r="L93" i="1"/>
  <c r="R93" i="1"/>
  <c r="H89" i="1"/>
  <c r="L89" i="1"/>
  <c r="R89" i="1"/>
  <c r="Q90" i="1" l="1"/>
  <c r="M90" i="1"/>
  <c r="P93" i="1"/>
  <c r="E93" i="1"/>
  <c r="I93" i="1" s="1"/>
  <c r="I92" i="1"/>
  <c r="M92" i="1"/>
  <c r="S92" i="1"/>
  <c r="P92" i="1" s="1"/>
  <c r="Q92" i="1" s="1"/>
  <c r="E91" i="1"/>
  <c r="M91" i="1" s="1"/>
  <c r="I91" i="1"/>
  <c r="S89" i="1"/>
  <c r="P89" i="1" s="1"/>
  <c r="Q89" i="1" s="1"/>
  <c r="I89" i="1"/>
  <c r="M93" i="1" l="1"/>
  <c r="Q93" i="1"/>
  <c r="Q91" i="1"/>
  <c r="K44" i="1" l="1"/>
  <c r="N145" i="1" l="1"/>
  <c r="O145" i="1"/>
  <c r="J145" i="1"/>
  <c r="K145" i="1"/>
  <c r="H145" i="1" s="1"/>
  <c r="F145" i="1"/>
  <c r="L145" i="1"/>
  <c r="R145" i="1" l="1"/>
  <c r="G146" i="1"/>
  <c r="C146" i="1"/>
  <c r="B146" i="1"/>
  <c r="R146" i="1"/>
  <c r="L146" i="1"/>
  <c r="H146" i="1"/>
  <c r="R143" i="1"/>
  <c r="R144" i="1"/>
  <c r="R142" i="1"/>
  <c r="S146" i="1" l="1"/>
  <c r="P146" i="1" s="1"/>
  <c r="G145" i="1"/>
  <c r="E146" i="1"/>
  <c r="I146" i="1" s="1"/>
  <c r="E145" i="1" l="1"/>
  <c r="I145" i="1" s="1"/>
  <c r="S145" i="1"/>
  <c r="P145" i="1" s="1"/>
  <c r="Q145" i="1" s="1"/>
  <c r="Q146" i="1"/>
  <c r="M146" i="1"/>
  <c r="K5" i="19" l="1"/>
  <c r="N134" i="1" l="1"/>
  <c r="O134" i="1"/>
  <c r="J134" i="1"/>
  <c r="K134" i="1"/>
  <c r="F134" i="1"/>
  <c r="B135" i="1"/>
  <c r="G135" i="1"/>
  <c r="G134" i="1" s="1"/>
  <c r="C135" i="1"/>
  <c r="R135" i="1"/>
  <c r="L135" i="1"/>
  <c r="H135" i="1"/>
  <c r="S134" i="1" l="1"/>
  <c r="H134" i="1"/>
  <c r="L134" i="1"/>
  <c r="S135" i="1"/>
  <c r="P135" i="1" s="1"/>
  <c r="E135" i="1"/>
  <c r="I135" i="1" s="1"/>
  <c r="R134" i="1"/>
  <c r="E134" i="1"/>
  <c r="M134" i="1" s="1"/>
  <c r="N108" i="1"/>
  <c r="O108" i="1"/>
  <c r="J108" i="1"/>
  <c r="K108" i="1"/>
  <c r="B109" i="1"/>
  <c r="C109" i="1"/>
  <c r="G109" i="1"/>
  <c r="G108" i="1" s="1"/>
  <c r="F108" i="1"/>
  <c r="R109" i="1"/>
  <c r="L109" i="1"/>
  <c r="H109" i="1"/>
  <c r="B88" i="1"/>
  <c r="B87" i="1"/>
  <c r="B86" i="1"/>
  <c r="G88" i="1"/>
  <c r="E88" i="1" s="1"/>
  <c r="G87" i="1"/>
  <c r="E87" i="1" s="1"/>
  <c r="G86" i="1"/>
  <c r="E86" i="1" s="1"/>
  <c r="C88" i="1"/>
  <c r="C87" i="1"/>
  <c r="C86" i="1"/>
  <c r="H88" i="1"/>
  <c r="L88" i="1"/>
  <c r="R88" i="1"/>
  <c r="H87" i="1"/>
  <c r="L87" i="1"/>
  <c r="R87" i="1"/>
  <c r="H86" i="1"/>
  <c r="L86" i="1"/>
  <c r="R86" i="1"/>
  <c r="N74" i="1"/>
  <c r="O74" i="1"/>
  <c r="J74" i="1"/>
  <c r="K74" i="1"/>
  <c r="F74" i="1"/>
  <c r="B80" i="1"/>
  <c r="G80" i="1"/>
  <c r="E80" i="1" s="1"/>
  <c r="C80" i="1"/>
  <c r="H80" i="1"/>
  <c r="L80" i="1"/>
  <c r="R80" i="1"/>
  <c r="B107" i="1"/>
  <c r="B106" i="1"/>
  <c r="N105" i="1"/>
  <c r="O105" i="1"/>
  <c r="J105" i="1"/>
  <c r="K105" i="1"/>
  <c r="F105" i="1"/>
  <c r="G107" i="1"/>
  <c r="S107" i="1" s="1"/>
  <c r="G106" i="1"/>
  <c r="S106" i="1" s="1"/>
  <c r="C107" i="1"/>
  <c r="C106" i="1"/>
  <c r="H107" i="1"/>
  <c r="L107" i="1"/>
  <c r="R107" i="1"/>
  <c r="R106" i="1"/>
  <c r="L106" i="1"/>
  <c r="H106" i="1"/>
  <c r="G104" i="1"/>
  <c r="E104" i="1" s="1"/>
  <c r="G103" i="1"/>
  <c r="E103" i="1" s="1"/>
  <c r="G102" i="1"/>
  <c r="E102" i="1" s="1"/>
  <c r="G101" i="1"/>
  <c r="G100" i="1"/>
  <c r="S100" i="1" s="1"/>
  <c r="B104" i="1"/>
  <c r="B103" i="1"/>
  <c r="B102" i="1"/>
  <c r="B101" i="1"/>
  <c r="B100" i="1"/>
  <c r="C104" i="1"/>
  <c r="C103" i="1"/>
  <c r="C102" i="1"/>
  <c r="C101" i="1"/>
  <c r="C100" i="1"/>
  <c r="N99" i="1"/>
  <c r="O99" i="1"/>
  <c r="J99" i="1"/>
  <c r="K99" i="1"/>
  <c r="F99" i="1"/>
  <c r="H101" i="1"/>
  <c r="L101" i="1"/>
  <c r="R101" i="1"/>
  <c r="H102" i="1"/>
  <c r="L102" i="1"/>
  <c r="R102" i="1"/>
  <c r="H103" i="1"/>
  <c r="L103" i="1"/>
  <c r="R103" i="1"/>
  <c r="H104" i="1"/>
  <c r="L104" i="1"/>
  <c r="R104" i="1"/>
  <c r="R100" i="1"/>
  <c r="L100" i="1"/>
  <c r="H100" i="1"/>
  <c r="P134" i="1" l="1"/>
  <c r="M135" i="1"/>
  <c r="M88" i="1"/>
  <c r="Q134" i="1"/>
  <c r="Q135" i="1"/>
  <c r="I134" i="1"/>
  <c r="S86" i="1"/>
  <c r="P86" i="1" s="1"/>
  <c r="Q86" i="1" s="1"/>
  <c r="I103" i="1"/>
  <c r="P107" i="1"/>
  <c r="M80" i="1"/>
  <c r="L108" i="1"/>
  <c r="R108" i="1"/>
  <c r="S108" i="1"/>
  <c r="H108" i="1"/>
  <c r="E109" i="1"/>
  <c r="I109" i="1" s="1"/>
  <c r="S109" i="1"/>
  <c r="P109" i="1" s="1"/>
  <c r="E108" i="1"/>
  <c r="E107" i="1"/>
  <c r="I107" i="1" s="1"/>
  <c r="S87" i="1"/>
  <c r="P87" i="1" s="1"/>
  <c r="Q87" i="1" s="1"/>
  <c r="S88" i="1"/>
  <c r="P88" i="1" s="1"/>
  <c r="Q88" i="1" s="1"/>
  <c r="I88" i="1"/>
  <c r="I87" i="1"/>
  <c r="M87" i="1"/>
  <c r="M86" i="1"/>
  <c r="I86" i="1"/>
  <c r="S80" i="1"/>
  <c r="P80" i="1" s="1"/>
  <c r="Q80" i="1" s="1"/>
  <c r="I80" i="1"/>
  <c r="G105" i="1"/>
  <c r="S105" i="1" s="1"/>
  <c r="H105" i="1"/>
  <c r="E106" i="1"/>
  <c r="I106" i="1" s="1"/>
  <c r="P106" i="1"/>
  <c r="R105" i="1"/>
  <c r="L105" i="1"/>
  <c r="M104" i="1"/>
  <c r="S104" i="1"/>
  <c r="P104" i="1" s="1"/>
  <c r="Q104" i="1" s="1"/>
  <c r="I104" i="1"/>
  <c r="S103" i="1"/>
  <c r="P103" i="1" s="1"/>
  <c r="Q103" i="1" s="1"/>
  <c r="M103" i="1"/>
  <c r="M102" i="1"/>
  <c r="I102" i="1"/>
  <c r="S102" i="1"/>
  <c r="P102" i="1" s="1"/>
  <c r="Q102" i="1" s="1"/>
  <c r="G99" i="1"/>
  <c r="S99" i="1" s="1"/>
  <c r="S101" i="1"/>
  <c r="P101" i="1" s="1"/>
  <c r="E101" i="1"/>
  <c r="M101" i="1" s="1"/>
  <c r="P100" i="1"/>
  <c r="L99" i="1"/>
  <c r="R99" i="1"/>
  <c r="H99" i="1"/>
  <c r="E100" i="1"/>
  <c r="I100" i="1" s="1"/>
  <c r="G133" i="1"/>
  <c r="E133" i="1" s="1"/>
  <c r="G132" i="1"/>
  <c r="S132" i="1" s="1"/>
  <c r="P132" i="1" s="1"/>
  <c r="G131" i="1"/>
  <c r="S131" i="1" s="1"/>
  <c r="N130" i="1"/>
  <c r="O130" i="1"/>
  <c r="J130" i="1"/>
  <c r="K130" i="1"/>
  <c r="F130" i="1"/>
  <c r="B133" i="1"/>
  <c r="B132" i="1"/>
  <c r="B131" i="1"/>
  <c r="C133" i="1"/>
  <c r="C132" i="1"/>
  <c r="C131" i="1"/>
  <c r="H132" i="1"/>
  <c r="L132" i="1"/>
  <c r="R132" i="1"/>
  <c r="H133" i="1"/>
  <c r="L133" i="1"/>
  <c r="R133" i="1"/>
  <c r="R131" i="1"/>
  <c r="L131" i="1"/>
  <c r="H131" i="1"/>
  <c r="Q109" i="1" l="1"/>
  <c r="M108" i="1"/>
  <c r="M109" i="1"/>
  <c r="M133" i="1"/>
  <c r="P108" i="1"/>
  <c r="I108" i="1"/>
  <c r="M107" i="1"/>
  <c r="Q108" i="1"/>
  <c r="Q107" i="1"/>
  <c r="M106" i="1"/>
  <c r="P105" i="1"/>
  <c r="E131" i="1"/>
  <c r="I131" i="1" s="1"/>
  <c r="E105" i="1"/>
  <c r="I105" i="1" s="1"/>
  <c r="Q106" i="1"/>
  <c r="I101" i="1"/>
  <c r="Q101" i="1"/>
  <c r="E99" i="1"/>
  <c r="M99" i="1" s="1"/>
  <c r="P99" i="1"/>
  <c r="Q100" i="1"/>
  <c r="M100" i="1"/>
  <c r="S133" i="1"/>
  <c r="P133" i="1" s="1"/>
  <c r="Q133" i="1" s="1"/>
  <c r="I133" i="1"/>
  <c r="G130" i="1"/>
  <c r="S130" i="1" s="1"/>
  <c r="E132" i="1"/>
  <c r="Q132" i="1" s="1"/>
  <c r="H130" i="1"/>
  <c r="P131" i="1"/>
  <c r="R130" i="1"/>
  <c r="L130" i="1"/>
  <c r="N110" i="1"/>
  <c r="O110" i="1"/>
  <c r="J110" i="1"/>
  <c r="K110" i="1"/>
  <c r="F110" i="1"/>
  <c r="G113" i="1"/>
  <c r="S113" i="1" s="1"/>
  <c r="G111" i="1"/>
  <c r="S111" i="1" s="1"/>
  <c r="B113" i="1"/>
  <c r="B112" i="1"/>
  <c r="B111" i="1"/>
  <c r="C113" i="1"/>
  <c r="C112" i="1"/>
  <c r="C111" i="1"/>
  <c r="E112" i="1"/>
  <c r="H112" i="1"/>
  <c r="L112" i="1"/>
  <c r="R112" i="1"/>
  <c r="S112" i="1"/>
  <c r="H113" i="1"/>
  <c r="L113" i="1"/>
  <c r="R113" i="1"/>
  <c r="R111" i="1"/>
  <c r="L111" i="1"/>
  <c r="H111" i="1"/>
  <c r="P113" i="1" l="1"/>
  <c r="P112" i="1"/>
  <c r="Q112" i="1" s="1"/>
  <c r="M112" i="1"/>
  <c r="M105" i="1"/>
  <c r="Q105" i="1"/>
  <c r="M131" i="1"/>
  <c r="Q131" i="1"/>
  <c r="Q99" i="1"/>
  <c r="I99" i="1"/>
  <c r="E130" i="1"/>
  <c r="M130" i="1" s="1"/>
  <c r="M132" i="1"/>
  <c r="I132" i="1"/>
  <c r="P130" i="1"/>
  <c r="I130" i="1"/>
  <c r="E113" i="1"/>
  <c r="M113" i="1" s="1"/>
  <c r="I112" i="1"/>
  <c r="E111" i="1"/>
  <c r="I111" i="1" s="1"/>
  <c r="G110" i="1"/>
  <c r="E110" i="1" s="1"/>
  <c r="L110" i="1"/>
  <c r="H110" i="1"/>
  <c r="P111" i="1"/>
  <c r="R110" i="1"/>
  <c r="G124" i="1"/>
  <c r="E124" i="1" s="1"/>
  <c r="B124" i="1"/>
  <c r="C124" i="1"/>
  <c r="G123" i="1"/>
  <c r="E123" i="1" s="1"/>
  <c r="G122" i="1"/>
  <c r="G121" i="1"/>
  <c r="B123" i="1"/>
  <c r="B122" i="1"/>
  <c r="B121" i="1"/>
  <c r="C123" i="1"/>
  <c r="C122" i="1"/>
  <c r="C121" i="1"/>
  <c r="E122" i="1"/>
  <c r="H122" i="1"/>
  <c r="L122" i="1"/>
  <c r="R122" i="1"/>
  <c r="S122" i="1"/>
  <c r="H123" i="1"/>
  <c r="L123" i="1"/>
  <c r="R123" i="1"/>
  <c r="H124" i="1"/>
  <c r="L124" i="1"/>
  <c r="R124" i="1"/>
  <c r="R121" i="1"/>
  <c r="L121" i="1"/>
  <c r="H121" i="1"/>
  <c r="G119" i="1"/>
  <c r="E119" i="1" s="1"/>
  <c r="E118" i="1"/>
  <c r="G117" i="1"/>
  <c r="S117" i="1" s="1"/>
  <c r="B119" i="1"/>
  <c r="B118" i="1"/>
  <c r="B117" i="1"/>
  <c r="C119" i="1"/>
  <c r="C118" i="1"/>
  <c r="C117" i="1"/>
  <c r="N116" i="1"/>
  <c r="N114" i="1" s="1"/>
  <c r="O116" i="1"/>
  <c r="O114" i="1" s="1"/>
  <c r="J116" i="1"/>
  <c r="J114" i="1" s="1"/>
  <c r="K116" i="1"/>
  <c r="K114" i="1" s="1"/>
  <c r="F116" i="1"/>
  <c r="F114" i="1" s="1"/>
  <c r="H118" i="1"/>
  <c r="L118" i="1"/>
  <c r="R118" i="1"/>
  <c r="H119" i="1"/>
  <c r="L119" i="1"/>
  <c r="R119" i="1"/>
  <c r="S119" i="1"/>
  <c r="R117" i="1"/>
  <c r="L117" i="1"/>
  <c r="H117" i="1"/>
  <c r="E121" i="1" l="1"/>
  <c r="G120" i="1"/>
  <c r="I113" i="1"/>
  <c r="M110" i="1"/>
  <c r="M111" i="1"/>
  <c r="Q113" i="1"/>
  <c r="Q130" i="1"/>
  <c r="S110" i="1"/>
  <c r="P110" i="1" s="1"/>
  <c r="Q110" i="1" s="1"/>
  <c r="S124" i="1"/>
  <c r="P124" i="1" s="1"/>
  <c r="Q124" i="1" s="1"/>
  <c r="M122" i="1"/>
  <c r="Q111" i="1"/>
  <c r="I110" i="1"/>
  <c r="S123" i="1"/>
  <c r="P123" i="1" s="1"/>
  <c r="Q123" i="1" s="1"/>
  <c r="S121" i="1"/>
  <c r="P121" i="1" s="1"/>
  <c r="Q121" i="1" s="1"/>
  <c r="M123" i="1"/>
  <c r="P122" i="1"/>
  <c r="Q122" i="1" s="1"/>
  <c r="I122" i="1"/>
  <c r="M124" i="1"/>
  <c r="I121" i="1"/>
  <c r="I124" i="1"/>
  <c r="E117" i="1"/>
  <c r="I117" i="1" s="1"/>
  <c r="P119" i="1"/>
  <c r="Q119" i="1" s="1"/>
  <c r="M121" i="1"/>
  <c r="I123" i="1"/>
  <c r="S118" i="1"/>
  <c r="P118" i="1" s="1"/>
  <c r="Q118" i="1" s="1"/>
  <c r="G116" i="1"/>
  <c r="E116" i="1" s="1"/>
  <c r="M119" i="1"/>
  <c r="I119" i="1"/>
  <c r="I118" i="1"/>
  <c r="M118" i="1"/>
  <c r="H116" i="1"/>
  <c r="R116" i="1"/>
  <c r="P117" i="1"/>
  <c r="L116" i="1"/>
  <c r="N141" i="1"/>
  <c r="O141" i="1"/>
  <c r="N137" i="1"/>
  <c r="O137" i="1"/>
  <c r="J141" i="1"/>
  <c r="K141" i="1"/>
  <c r="H141" i="1" s="1"/>
  <c r="F141" i="1"/>
  <c r="G144" i="1"/>
  <c r="B144" i="1"/>
  <c r="B143" i="1"/>
  <c r="B142" i="1"/>
  <c r="C144" i="1"/>
  <c r="C143" i="1"/>
  <c r="C142" i="1"/>
  <c r="H143" i="1"/>
  <c r="L143" i="1"/>
  <c r="H144" i="1"/>
  <c r="L144" i="1"/>
  <c r="L142" i="1"/>
  <c r="H142" i="1"/>
  <c r="E143" i="1" l="1"/>
  <c r="I143" i="1" s="1"/>
  <c r="S143" i="1"/>
  <c r="P143" i="1" s="1"/>
  <c r="E144" i="1"/>
  <c r="M144" i="1" s="1"/>
  <c r="S144" i="1"/>
  <c r="P144" i="1" s="1"/>
  <c r="E142" i="1"/>
  <c r="M142" i="1" s="1"/>
  <c r="S142" i="1"/>
  <c r="P142" i="1" s="1"/>
  <c r="Q117" i="1"/>
  <c r="M117" i="1"/>
  <c r="O136" i="1"/>
  <c r="L141" i="1"/>
  <c r="S116" i="1"/>
  <c r="P116" i="1" s="1"/>
  <c r="Q116" i="1" s="1"/>
  <c r="L137" i="1"/>
  <c r="M116" i="1"/>
  <c r="I116" i="1"/>
  <c r="G141" i="1"/>
  <c r="R141" i="1"/>
  <c r="N136" i="1"/>
  <c r="I144" i="1"/>
  <c r="G115" i="1"/>
  <c r="G114" i="1" s="1"/>
  <c r="R115" i="1"/>
  <c r="L115" i="1"/>
  <c r="H115" i="1"/>
  <c r="B115" i="1"/>
  <c r="C115" i="1"/>
  <c r="I142" i="1" l="1"/>
  <c r="Q142" i="1"/>
  <c r="Q143" i="1"/>
  <c r="M143" i="1"/>
  <c r="Q144" i="1"/>
  <c r="E115" i="1"/>
  <c r="I115" i="1" s="1"/>
  <c r="L114" i="1"/>
  <c r="E141" i="1"/>
  <c r="S141" i="1"/>
  <c r="P141" i="1" s="1"/>
  <c r="S115" i="1"/>
  <c r="P115" i="1" s="1"/>
  <c r="Q115" i="1" s="1"/>
  <c r="S114" i="1"/>
  <c r="R114" i="1"/>
  <c r="H114" i="1"/>
  <c r="E114" i="1"/>
  <c r="F42" i="1"/>
  <c r="G82" i="1"/>
  <c r="S82" i="1" s="1"/>
  <c r="B82" i="1"/>
  <c r="C82" i="1"/>
  <c r="N81" i="1"/>
  <c r="O81" i="1"/>
  <c r="J81" i="1"/>
  <c r="K81" i="1"/>
  <c r="F81" i="1"/>
  <c r="R82" i="1"/>
  <c r="L82" i="1"/>
  <c r="H82" i="1"/>
  <c r="M115" i="1" l="1"/>
  <c r="Q141" i="1"/>
  <c r="M141" i="1"/>
  <c r="I141" i="1"/>
  <c r="P114" i="1"/>
  <c r="Q114" i="1" s="1"/>
  <c r="I114" i="1"/>
  <c r="G81" i="1"/>
  <c r="E81" i="1" s="1"/>
  <c r="E82" i="1"/>
  <c r="I82" i="1" s="1"/>
  <c r="H81" i="1"/>
  <c r="P82" i="1"/>
  <c r="R81" i="1"/>
  <c r="L81" i="1"/>
  <c r="Q82" i="1" l="1"/>
  <c r="S81" i="1"/>
  <c r="P81" i="1" s="1"/>
  <c r="Q81" i="1" s="1"/>
  <c r="M82" i="1"/>
  <c r="I81" i="1"/>
  <c r="M81" i="1"/>
  <c r="L136" i="1" l="1"/>
  <c r="J137" i="1"/>
  <c r="J136" i="1" s="1"/>
  <c r="H120" i="1" s="1"/>
  <c r="K137" i="1"/>
  <c r="K136" i="1" s="1"/>
  <c r="G140" i="1"/>
  <c r="E140" i="1" s="1"/>
  <c r="F139" i="1"/>
  <c r="R139" i="1" s="1"/>
  <c r="F138" i="1"/>
  <c r="C140" i="1"/>
  <c r="C139" i="1"/>
  <c r="C138" i="1"/>
  <c r="B140" i="1"/>
  <c r="B139" i="1"/>
  <c r="B138" i="1"/>
  <c r="H139" i="1"/>
  <c r="L139" i="1"/>
  <c r="S139" i="1"/>
  <c r="H140" i="1"/>
  <c r="L140" i="1"/>
  <c r="R140" i="1"/>
  <c r="L138" i="1"/>
  <c r="H138" i="1"/>
  <c r="S138" i="1"/>
  <c r="E139" i="1" l="1"/>
  <c r="M139" i="1" s="1"/>
  <c r="H137" i="1"/>
  <c r="P139" i="1"/>
  <c r="G137" i="1"/>
  <c r="I139" i="1"/>
  <c r="F137" i="1"/>
  <c r="E138" i="1"/>
  <c r="M138" i="1" s="1"/>
  <c r="R138" i="1"/>
  <c r="P138" i="1" s="1"/>
  <c r="H136" i="1"/>
  <c r="I140" i="1"/>
  <c r="M140" i="1"/>
  <c r="S140" i="1"/>
  <c r="P140" i="1" s="1"/>
  <c r="Q140" i="1" s="1"/>
  <c r="G85" i="1"/>
  <c r="E85" i="1" s="1"/>
  <c r="G84" i="1"/>
  <c r="G83" i="1" s="1"/>
  <c r="C85" i="1"/>
  <c r="C84" i="1"/>
  <c r="B85" i="1"/>
  <c r="B84" i="1"/>
  <c r="H85" i="1"/>
  <c r="L85" i="1"/>
  <c r="R85" i="1"/>
  <c r="R84" i="1"/>
  <c r="L84" i="1"/>
  <c r="H84" i="1"/>
  <c r="E79" i="1"/>
  <c r="G78" i="1"/>
  <c r="E78" i="1" s="1"/>
  <c r="G77" i="1"/>
  <c r="E77" i="1" s="1"/>
  <c r="G76" i="1"/>
  <c r="E76" i="1" s="1"/>
  <c r="G75" i="1"/>
  <c r="C79" i="1"/>
  <c r="C78" i="1"/>
  <c r="C77" i="1"/>
  <c r="C76" i="1"/>
  <c r="C75" i="1"/>
  <c r="L74" i="1"/>
  <c r="B79" i="1"/>
  <c r="B78" i="1"/>
  <c r="B77" i="1"/>
  <c r="B76" i="1"/>
  <c r="B75" i="1"/>
  <c r="H76" i="1"/>
  <c r="L76" i="1"/>
  <c r="R76" i="1"/>
  <c r="H77" i="1"/>
  <c r="L77" i="1"/>
  <c r="R77" i="1"/>
  <c r="H78" i="1"/>
  <c r="L78" i="1"/>
  <c r="R78" i="1"/>
  <c r="H79" i="1"/>
  <c r="L79" i="1"/>
  <c r="R79" i="1"/>
  <c r="R75" i="1"/>
  <c r="L75" i="1"/>
  <c r="H75" i="1"/>
  <c r="G73" i="1"/>
  <c r="E73" i="1" s="1"/>
  <c r="G72" i="1"/>
  <c r="E72" i="1" s="1"/>
  <c r="G71" i="1"/>
  <c r="E71" i="1" s="1"/>
  <c r="G70" i="1"/>
  <c r="E70" i="1" s="1"/>
  <c r="G69" i="1"/>
  <c r="E69" i="1" s="1"/>
  <c r="G68" i="1"/>
  <c r="E68" i="1" s="1"/>
  <c r="G67" i="1"/>
  <c r="S67" i="1" s="1"/>
  <c r="G66" i="1"/>
  <c r="S66" i="1" s="1"/>
  <c r="G65" i="1"/>
  <c r="E65" i="1" s="1"/>
  <c r="G64" i="1"/>
  <c r="E64" i="1" s="1"/>
  <c r="G63" i="1"/>
  <c r="E63" i="1" s="1"/>
  <c r="G62" i="1"/>
  <c r="E62" i="1" s="1"/>
  <c r="G61" i="1"/>
  <c r="E61" i="1" s="1"/>
  <c r="G60" i="1"/>
  <c r="E60" i="1" s="1"/>
  <c r="G59" i="1"/>
  <c r="E59" i="1" s="1"/>
  <c r="S58" i="1"/>
  <c r="G57" i="1"/>
  <c r="E57" i="1" s="1"/>
  <c r="G56" i="1"/>
  <c r="E56" i="1" s="1"/>
  <c r="G55" i="1"/>
  <c r="E55" i="1" s="1"/>
  <c r="N54" i="1"/>
  <c r="O54" i="1"/>
  <c r="J54" i="1"/>
  <c r="K54" i="1"/>
  <c r="F54" i="1"/>
  <c r="F41" i="1" s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H56" i="1"/>
  <c r="L56" i="1"/>
  <c r="R56" i="1"/>
  <c r="H57" i="1"/>
  <c r="L57" i="1"/>
  <c r="R57" i="1"/>
  <c r="H58" i="1"/>
  <c r="L58" i="1"/>
  <c r="R58" i="1"/>
  <c r="H59" i="1"/>
  <c r="L59" i="1"/>
  <c r="R59" i="1"/>
  <c r="H60" i="1"/>
  <c r="L60" i="1"/>
  <c r="R60" i="1"/>
  <c r="H61" i="1"/>
  <c r="L61" i="1"/>
  <c r="R61" i="1"/>
  <c r="H62" i="1"/>
  <c r="L62" i="1"/>
  <c r="R62" i="1"/>
  <c r="H63" i="1"/>
  <c r="L63" i="1"/>
  <c r="R63" i="1"/>
  <c r="S63" i="1"/>
  <c r="H64" i="1"/>
  <c r="L64" i="1"/>
  <c r="R64" i="1"/>
  <c r="H65" i="1"/>
  <c r="L65" i="1"/>
  <c r="R65" i="1"/>
  <c r="H66" i="1"/>
  <c r="L66" i="1"/>
  <c r="R66" i="1"/>
  <c r="H67" i="1"/>
  <c r="L67" i="1"/>
  <c r="R67" i="1"/>
  <c r="H68" i="1"/>
  <c r="L68" i="1"/>
  <c r="R68" i="1"/>
  <c r="H69" i="1"/>
  <c r="L69" i="1"/>
  <c r="R69" i="1"/>
  <c r="H70" i="1"/>
  <c r="L70" i="1"/>
  <c r="R70" i="1"/>
  <c r="H71" i="1"/>
  <c r="L71" i="1"/>
  <c r="R71" i="1"/>
  <c r="H72" i="1"/>
  <c r="L72" i="1"/>
  <c r="R72" i="1"/>
  <c r="H73" i="1"/>
  <c r="L73" i="1"/>
  <c r="R73" i="1"/>
  <c r="R55" i="1"/>
  <c r="L55" i="1"/>
  <c r="H55" i="1"/>
  <c r="N42" i="1"/>
  <c r="O42" i="1"/>
  <c r="O41" i="1" s="1"/>
  <c r="J42" i="1"/>
  <c r="J41" i="1" s="1"/>
  <c r="K42" i="1"/>
  <c r="K41" i="1" s="1"/>
  <c r="K4" i="1" s="1"/>
  <c r="G53" i="1"/>
  <c r="E53" i="1" s="1"/>
  <c r="G52" i="1"/>
  <c r="E52" i="1" s="1"/>
  <c r="G51" i="1"/>
  <c r="E51" i="1" s="1"/>
  <c r="G50" i="1"/>
  <c r="S50" i="1" s="1"/>
  <c r="G49" i="1"/>
  <c r="E49" i="1" s="1"/>
  <c r="G48" i="1"/>
  <c r="E48" i="1" s="1"/>
  <c r="G47" i="1"/>
  <c r="E47" i="1" s="1"/>
  <c r="G46" i="1"/>
  <c r="S46" i="1" s="1"/>
  <c r="G45" i="1"/>
  <c r="E45" i="1" s="1"/>
  <c r="G44" i="1"/>
  <c r="G43" i="1"/>
  <c r="S43" i="1" s="1"/>
  <c r="C53" i="1"/>
  <c r="C52" i="1"/>
  <c r="C51" i="1"/>
  <c r="C50" i="1"/>
  <c r="C49" i="1"/>
  <c r="C48" i="1"/>
  <c r="C47" i="1"/>
  <c r="C46" i="1"/>
  <c r="C45" i="1"/>
  <c r="C44" i="1"/>
  <c r="C43" i="1"/>
  <c r="B53" i="1"/>
  <c r="B52" i="1"/>
  <c r="B51" i="1"/>
  <c r="B50" i="1"/>
  <c r="B49" i="1"/>
  <c r="B48" i="1"/>
  <c r="B47" i="1"/>
  <c r="B46" i="1"/>
  <c r="B45" i="1"/>
  <c r="B44" i="1"/>
  <c r="B43" i="1"/>
  <c r="E44" i="1"/>
  <c r="H44" i="1"/>
  <c r="L44" i="1"/>
  <c r="R44" i="1"/>
  <c r="S44" i="1"/>
  <c r="H45" i="1"/>
  <c r="L45" i="1"/>
  <c r="R45" i="1"/>
  <c r="H46" i="1"/>
  <c r="L46" i="1"/>
  <c r="R46" i="1"/>
  <c r="H47" i="1"/>
  <c r="L47" i="1"/>
  <c r="R47" i="1"/>
  <c r="H48" i="1"/>
  <c r="L48" i="1"/>
  <c r="R48" i="1"/>
  <c r="H49" i="1"/>
  <c r="L49" i="1"/>
  <c r="R49" i="1"/>
  <c r="H50" i="1"/>
  <c r="L50" i="1"/>
  <c r="R50" i="1"/>
  <c r="H51" i="1"/>
  <c r="L51" i="1"/>
  <c r="R51" i="1"/>
  <c r="H52" i="1"/>
  <c r="L52" i="1"/>
  <c r="R52" i="1"/>
  <c r="H53" i="1"/>
  <c r="L53" i="1"/>
  <c r="R53" i="1"/>
  <c r="R43" i="1"/>
  <c r="L43" i="1"/>
  <c r="H43" i="1"/>
  <c r="K39" i="1"/>
  <c r="K37" i="1"/>
  <c r="K33" i="1"/>
  <c r="K26" i="1"/>
  <c r="K17" i="1"/>
  <c r="K6" i="1"/>
  <c r="G74" i="1" l="1"/>
  <c r="S83" i="1"/>
  <c r="N41" i="1"/>
  <c r="L41" i="1" s="1"/>
  <c r="S84" i="1"/>
  <c r="P84" i="1" s="1"/>
  <c r="S75" i="1"/>
  <c r="Q139" i="1"/>
  <c r="I78" i="1"/>
  <c r="L83" i="1"/>
  <c r="S55" i="1"/>
  <c r="P55" i="1" s="1"/>
  <c r="Q55" i="1" s="1"/>
  <c r="E137" i="1"/>
  <c r="I137" i="1" s="1"/>
  <c r="G136" i="1"/>
  <c r="S120" i="1" s="1"/>
  <c r="S137" i="1"/>
  <c r="F136" i="1"/>
  <c r="R137" i="1"/>
  <c r="M77" i="1"/>
  <c r="Q138" i="1"/>
  <c r="I138" i="1"/>
  <c r="S85" i="1"/>
  <c r="P85" i="1" s="1"/>
  <c r="Q85" i="1" s="1"/>
  <c r="S71" i="1"/>
  <c r="P71" i="1" s="1"/>
  <c r="Q71" i="1" s="1"/>
  <c r="I85" i="1"/>
  <c r="S72" i="1"/>
  <c r="P72" i="1" s="1"/>
  <c r="Q72" i="1" s="1"/>
  <c r="S69" i="1"/>
  <c r="P69" i="1" s="1"/>
  <c r="Q69" i="1" s="1"/>
  <c r="S68" i="1"/>
  <c r="P68" i="1" s="1"/>
  <c r="Q68" i="1" s="1"/>
  <c r="S60" i="1"/>
  <c r="P60" i="1" s="1"/>
  <c r="Q60" i="1" s="1"/>
  <c r="S64" i="1"/>
  <c r="P64" i="1" s="1"/>
  <c r="Q64" i="1" s="1"/>
  <c r="S56" i="1"/>
  <c r="P56" i="1" s="1"/>
  <c r="Q56" i="1" s="1"/>
  <c r="S79" i="1"/>
  <c r="P79" i="1" s="1"/>
  <c r="Q79" i="1" s="1"/>
  <c r="S78" i="1"/>
  <c r="P78" i="1" s="1"/>
  <c r="Q78" i="1" s="1"/>
  <c r="M85" i="1"/>
  <c r="P44" i="1"/>
  <c r="Q44" i="1" s="1"/>
  <c r="P63" i="1"/>
  <c r="Q63" i="1" s="1"/>
  <c r="I70" i="1"/>
  <c r="I79" i="1"/>
  <c r="R83" i="1"/>
  <c r="H83" i="1"/>
  <c r="E84" i="1"/>
  <c r="I84" i="1" s="1"/>
  <c r="I77" i="1"/>
  <c r="I76" i="1"/>
  <c r="M76" i="1"/>
  <c r="S76" i="1"/>
  <c r="P76" i="1" s="1"/>
  <c r="Q76" i="1" s="1"/>
  <c r="M79" i="1"/>
  <c r="M78" i="1"/>
  <c r="S77" i="1"/>
  <c r="P77" i="1" s="1"/>
  <c r="Q77" i="1" s="1"/>
  <c r="P75" i="1"/>
  <c r="E75" i="1"/>
  <c r="R74" i="1"/>
  <c r="E58" i="1"/>
  <c r="I58" i="1" s="1"/>
  <c r="M56" i="1"/>
  <c r="E46" i="1"/>
  <c r="I46" i="1" s="1"/>
  <c r="S70" i="1"/>
  <c r="P70" i="1" s="1"/>
  <c r="Q70" i="1" s="1"/>
  <c r="M52" i="1"/>
  <c r="M72" i="1"/>
  <c r="S65" i="1"/>
  <c r="P65" i="1" s="1"/>
  <c r="Q65" i="1" s="1"/>
  <c r="M60" i="1"/>
  <c r="M68" i="1"/>
  <c r="H74" i="1"/>
  <c r="M64" i="1"/>
  <c r="I62" i="1"/>
  <c r="P67" i="1"/>
  <c r="E66" i="1"/>
  <c r="I66" i="1" s="1"/>
  <c r="M73" i="1"/>
  <c r="S73" i="1"/>
  <c r="P73" i="1" s="1"/>
  <c r="Q73" i="1" s="1"/>
  <c r="S61" i="1"/>
  <c r="P61" i="1" s="1"/>
  <c r="Q61" i="1" s="1"/>
  <c r="S57" i="1"/>
  <c r="P57" i="1" s="1"/>
  <c r="Q57" i="1" s="1"/>
  <c r="E67" i="1"/>
  <c r="S59" i="1"/>
  <c r="P59" i="1" s="1"/>
  <c r="Q59" i="1" s="1"/>
  <c r="I56" i="1"/>
  <c r="I73" i="1"/>
  <c r="I72" i="1"/>
  <c r="M71" i="1"/>
  <c r="I71" i="1"/>
  <c r="M70" i="1"/>
  <c r="M69" i="1"/>
  <c r="I69" i="1"/>
  <c r="I68" i="1"/>
  <c r="P66" i="1"/>
  <c r="I65" i="1"/>
  <c r="M65" i="1"/>
  <c r="I64" i="1"/>
  <c r="I63" i="1"/>
  <c r="M63" i="1"/>
  <c r="S62" i="1"/>
  <c r="P62" i="1" s="1"/>
  <c r="Q62" i="1" s="1"/>
  <c r="M62" i="1"/>
  <c r="M61" i="1"/>
  <c r="I61" i="1"/>
  <c r="I60" i="1"/>
  <c r="M59" i="1"/>
  <c r="I59" i="1"/>
  <c r="P58" i="1"/>
  <c r="M57" i="1"/>
  <c r="I57" i="1"/>
  <c r="G54" i="1"/>
  <c r="S54" i="1" s="1"/>
  <c r="I55" i="1"/>
  <c r="M55" i="1"/>
  <c r="R54" i="1"/>
  <c r="S51" i="1"/>
  <c r="P51" i="1" s="1"/>
  <c r="Q51" i="1" s="1"/>
  <c r="E50" i="1"/>
  <c r="M50" i="1" s="1"/>
  <c r="L54" i="1"/>
  <c r="I44" i="1"/>
  <c r="S49" i="1"/>
  <c r="P49" i="1" s="1"/>
  <c r="Q49" i="1" s="1"/>
  <c r="S45" i="1"/>
  <c r="P45" i="1" s="1"/>
  <c r="Q45" i="1" s="1"/>
  <c r="G42" i="1"/>
  <c r="M51" i="1"/>
  <c r="S52" i="1"/>
  <c r="P52" i="1" s="1"/>
  <c r="Q52" i="1" s="1"/>
  <c r="S48" i="1"/>
  <c r="P48" i="1" s="1"/>
  <c r="Q48" i="1" s="1"/>
  <c r="S47" i="1"/>
  <c r="P47" i="1" s="1"/>
  <c r="Q47" i="1" s="1"/>
  <c r="H54" i="1"/>
  <c r="M44" i="1"/>
  <c r="S53" i="1"/>
  <c r="P53" i="1" s="1"/>
  <c r="Q53" i="1" s="1"/>
  <c r="M53" i="1"/>
  <c r="I53" i="1"/>
  <c r="I52" i="1"/>
  <c r="I51" i="1"/>
  <c r="P50" i="1"/>
  <c r="I49" i="1"/>
  <c r="M49" i="1"/>
  <c r="I48" i="1"/>
  <c r="M48" i="1"/>
  <c r="M47" i="1"/>
  <c r="I47" i="1"/>
  <c r="P46" i="1"/>
  <c r="I45" i="1"/>
  <c r="M45" i="1"/>
  <c r="P43" i="1"/>
  <c r="L42" i="1"/>
  <c r="H42" i="1"/>
  <c r="E43" i="1"/>
  <c r="R42" i="1"/>
  <c r="G41" i="1" l="1"/>
  <c r="R41" i="1"/>
  <c r="E74" i="1"/>
  <c r="I74" i="1" s="1"/>
  <c r="H41" i="1"/>
  <c r="P137" i="1"/>
  <c r="Q137" i="1" s="1"/>
  <c r="M137" i="1"/>
  <c r="R136" i="1"/>
  <c r="E136" i="1"/>
  <c r="I136" i="1" s="1"/>
  <c r="S136" i="1"/>
  <c r="S74" i="1"/>
  <c r="P74" i="1" s="1"/>
  <c r="M84" i="1"/>
  <c r="Q84" i="1"/>
  <c r="Q46" i="1"/>
  <c r="M46" i="1"/>
  <c r="E83" i="1"/>
  <c r="M83" i="1" s="1"/>
  <c r="P83" i="1"/>
  <c r="Q58" i="1"/>
  <c r="Q75" i="1"/>
  <c r="M75" i="1"/>
  <c r="I75" i="1"/>
  <c r="Q66" i="1"/>
  <c r="M58" i="1"/>
  <c r="M66" i="1"/>
  <c r="Q67" i="1"/>
  <c r="I67" i="1"/>
  <c r="M67" i="1"/>
  <c r="P54" i="1"/>
  <c r="Q50" i="1"/>
  <c r="I50" i="1"/>
  <c r="E54" i="1"/>
  <c r="I54" i="1" s="1"/>
  <c r="M43" i="1"/>
  <c r="I43" i="1"/>
  <c r="S42" i="1"/>
  <c r="P42" i="1" s="1"/>
  <c r="E42" i="1"/>
  <c r="M42" i="1" s="1"/>
  <c r="Q43" i="1"/>
  <c r="K5" i="1"/>
  <c r="J39" i="1"/>
  <c r="H39" i="1" s="1"/>
  <c r="N39" i="1"/>
  <c r="O39" i="1"/>
  <c r="N37" i="1"/>
  <c r="O37" i="1"/>
  <c r="J37" i="1"/>
  <c r="F37" i="1"/>
  <c r="G40" i="1"/>
  <c r="R40" i="1"/>
  <c r="L40" i="1"/>
  <c r="H40" i="1"/>
  <c r="C40" i="1"/>
  <c r="B40" i="1"/>
  <c r="F39" i="1"/>
  <c r="G38" i="1"/>
  <c r="G37" i="1" s="1"/>
  <c r="C38" i="1"/>
  <c r="B38" i="1"/>
  <c r="Q74" i="1" l="1"/>
  <c r="M74" i="1"/>
  <c r="E120" i="1"/>
  <c r="P136" i="1"/>
  <c r="Q136" i="1" s="1"/>
  <c r="S40" i="1"/>
  <c r="P40" i="1" s="1"/>
  <c r="G39" i="1"/>
  <c r="Q83" i="1"/>
  <c r="I83" i="1"/>
  <c r="I42" i="1"/>
  <c r="L39" i="1"/>
  <c r="Q42" i="1"/>
  <c r="M54" i="1"/>
  <c r="Q54" i="1"/>
  <c r="E41" i="1"/>
  <c r="I41" i="1" s="1"/>
  <c r="S41" i="1"/>
  <c r="P41" i="1" s="1"/>
  <c r="R39" i="1"/>
  <c r="E40" i="1"/>
  <c r="I40" i="1" s="1"/>
  <c r="S39" i="1"/>
  <c r="R38" i="1"/>
  <c r="L38" i="1"/>
  <c r="H38" i="1"/>
  <c r="S38" i="1"/>
  <c r="N33" i="1"/>
  <c r="O33" i="1"/>
  <c r="J33" i="1"/>
  <c r="F33" i="1"/>
  <c r="G36" i="1"/>
  <c r="S36" i="1" s="1"/>
  <c r="G35" i="1"/>
  <c r="E35" i="1" s="1"/>
  <c r="G34" i="1"/>
  <c r="C36" i="1"/>
  <c r="C35" i="1"/>
  <c r="C34" i="1"/>
  <c r="H36" i="1"/>
  <c r="L36" i="1"/>
  <c r="R36" i="1"/>
  <c r="B36" i="1"/>
  <c r="B35" i="1"/>
  <c r="B34" i="1"/>
  <c r="H35" i="1"/>
  <c r="L35" i="1"/>
  <c r="R35" i="1"/>
  <c r="R34" i="1"/>
  <c r="L34" i="1"/>
  <c r="H34" i="1"/>
  <c r="I120" i="1" l="1"/>
  <c r="Q41" i="1"/>
  <c r="P39" i="1"/>
  <c r="M35" i="1"/>
  <c r="S35" i="1"/>
  <c r="P35" i="1" s="1"/>
  <c r="Q35" i="1" s="1"/>
  <c r="E36" i="1"/>
  <c r="M36" i="1" s="1"/>
  <c r="Q40" i="1"/>
  <c r="M40" i="1"/>
  <c r="E39" i="1"/>
  <c r="I39" i="1" s="1"/>
  <c r="S34" i="1"/>
  <c r="P34" i="1" s="1"/>
  <c r="G33" i="1"/>
  <c r="S33" i="1" s="1"/>
  <c r="I35" i="1"/>
  <c r="P36" i="1"/>
  <c r="P38" i="1"/>
  <c r="R37" i="1"/>
  <c r="L37" i="1"/>
  <c r="H37" i="1"/>
  <c r="E38" i="1"/>
  <c r="I38" i="1" s="1"/>
  <c r="R33" i="1"/>
  <c r="L33" i="1"/>
  <c r="H33" i="1"/>
  <c r="E34" i="1"/>
  <c r="M34" i="1" s="1"/>
  <c r="G27" i="1"/>
  <c r="R28" i="1"/>
  <c r="R29" i="1"/>
  <c r="R30" i="1"/>
  <c r="R31" i="1"/>
  <c r="R32" i="1"/>
  <c r="R27" i="1"/>
  <c r="L27" i="1"/>
  <c r="H27" i="1"/>
  <c r="G32" i="1"/>
  <c r="E32" i="1" s="1"/>
  <c r="S31" i="1"/>
  <c r="S30" i="1"/>
  <c r="P30" i="1" s="1"/>
  <c r="S29" i="1"/>
  <c r="S28" i="1"/>
  <c r="P28" i="1" s="1"/>
  <c r="C32" i="1"/>
  <c r="C31" i="1"/>
  <c r="C30" i="1"/>
  <c r="C29" i="1"/>
  <c r="C28" i="1"/>
  <c r="C27" i="1"/>
  <c r="H32" i="1"/>
  <c r="L32" i="1"/>
  <c r="B32" i="1"/>
  <c r="B31" i="1"/>
  <c r="B30" i="1"/>
  <c r="B29" i="1"/>
  <c r="B28" i="1"/>
  <c r="B27" i="1"/>
  <c r="H28" i="1"/>
  <c r="L28" i="1"/>
  <c r="H29" i="1"/>
  <c r="L29" i="1"/>
  <c r="H30" i="1"/>
  <c r="L30" i="1"/>
  <c r="H31" i="1"/>
  <c r="L31" i="1"/>
  <c r="O26" i="1"/>
  <c r="O17" i="1" s="1"/>
  <c r="N26" i="1"/>
  <c r="J26" i="1"/>
  <c r="J17" i="1" s="1"/>
  <c r="F26" i="1"/>
  <c r="F17" i="1" s="1"/>
  <c r="G25" i="1"/>
  <c r="E25" i="1" s="1"/>
  <c r="G24" i="1"/>
  <c r="E24" i="1" s="1"/>
  <c r="G23" i="1"/>
  <c r="E23" i="1" s="1"/>
  <c r="G22" i="1"/>
  <c r="E22" i="1" s="1"/>
  <c r="G21" i="1"/>
  <c r="E21" i="1" s="1"/>
  <c r="G20" i="1"/>
  <c r="E20" i="1" s="1"/>
  <c r="G19" i="1"/>
  <c r="G18" i="1"/>
  <c r="S18" i="1" s="1"/>
  <c r="C25" i="1"/>
  <c r="C24" i="1"/>
  <c r="C23" i="1"/>
  <c r="C22" i="1"/>
  <c r="C21" i="1"/>
  <c r="C20" i="1"/>
  <c r="C19" i="1"/>
  <c r="C18" i="1"/>
  <c r="B25" i="1"/>
  <c r="B24" i="1"/>
  <c r="B23" i="1"/>
  <c r="B22" i="1"/>
  <c r="B21" i="1"/>
  <c r="B20" i="1"/>
  <c r="B19" i="1"/>
  <c r="B18" i="1"/>
  <c r="H24" i="1"/>
  <c r="L24" i="1"/>
  <c r="R24" i="1"/>
  <c r="H25" i="1"/>
  <c r="L25" i="1"/>
  <c r="R25" i="1"/>
  <c r="E19" i="1"/>
  <c r="H19" i="1"/>
  <c r="L19" i="1"/>
  <c r="R19" i="1"/>
  <c r="S19" i="1"/>
  <c r="H20" i="1"/>
  <c r="L20" i="1"/>
  <c r="R20" i="1"/>
  <c r="H21" i="1"/>
  <c r="L21" i="1"/>
  <c r="R21" i="1"/>
  <c r="H22" i="1"/>
  <c r="L22" i="1"/>
  <c r="R22" i="1"/>
  <c r="H23" i="1"/>
  <c r="L23" i="1"/>
  <c r="R23" i="1"/>
  <c r="R18" i="1"/>
  <c r="L18" i="1"/>
  <c r="H18" i="1"/>
  <c r="N6" i="1"/>
  <c r="O6" i="1"/>
  <c r="J6" i="1"/>
  <c r="F6" i="1"/>
  <c r="G15" i="1"/>
  <c r="E15" i="1" s="1"/>
  <c r="E14" i="1"/>
  <c r="G13" i="1"/>
  <c r="E13" i="1" s="1"/>
  <c r="G12" i="1"/>
  <c r="E12" i="1" s="1"/>
  <c r="G11" i="1"/>
  <c r="E11" i="1" s="1"/>
  <c r="G10" i="1"/>
  <c r="E10" i="1" s="1"/>
  <c r="G9" i="1"/>
  <c r="E9" i="1" s="1"/>
  <c r="G8" i="1"/>
  <c r="E8" i="1" s="1"/>
  <c r="H8" i="1"/>
  <c r="L8" i="1"/>
  <c r="R8" i="1"/>
  <c r="H9" i="1"/>
  <c r="L9" i="1"/>
  <c r="R9" i="1"/>
  <c r="H10" i="1"/>
  <c r="L10" i="1"/>
  <c r="R10" i="1"/>
  <c r="H11" i="1"/>
  <c r="L11" i="1"/>
  <c r="R11" i="1"/>
  <c r="H12" i="1"/>
  <c r="L12" i="1"/>
  <c r="R12" i="1"/>
  <c r="H13" i="1"/>
  <c r="L13" i="1"/>
  <c r="R13" i="1"/>
  <c r="H14" i="1"/>
  <c r="L14" i="1"/>
  <c r="R14" i="1"/>
  <c r="H15" i="1"/>
  <c r="L15" i="1"/>
  <c r="R15" i="1"/>
  <c r="C15" i="1"/>
  <c r="C14" i="1"/>
  <c r="C13" i="1"/>
  <c r="C12" i="1"/>
  <c r="C11" i="1"/>
  <c r="C10" i="1"/>
  <c r="C9" i="1"/>
  <c r="C8" i="1"/>
  <c r="C7" i="1"/>
  <c r="B15" i="1"/>
  <c r="B14" i="1"/>
  <c r="B13" i="1"/>
  <c r="B12" i="1"/>
  <c r="B11" i="1"/>
  <c r="B10" i="1"/>
  <c r="B9" i="1"/>
  <c r="B8" i="1"/>
  <c r="B7" i="1"/>
  <c r="G7" i="1"/>
  <c r="Q36" i="1" l="1"/>
  <c r="E33" i="1"/>
  <c r="M33" i="1" s="1"/>
  <c r="O5" i="1"/>
  <c r="O4" i="1" s="1"/>
  <c r="F5" i="1"/>
  <c r="F4" i="1" s="1"/>
  <c r="J5" i="1"/>
  <c r="J4" i="1" s="1"/>
  <c r="I36" i="1"/>
  <c r="M39" i="1"/>
  <c r="S10" i="1"/>
  <c r="P10" i="1" s="1"/>
  <c r="Q10" i="1" s="1"/>
  <c r="S22" i="1"/>
  <c r="P22" i="1" s="1"/>
  <c r="Q22" i="1" s="1"/>
  <c r="Q39" i="1"/>
  <c r="S23" i="1"/>
  <c r="P23" i="1" s="1"/>
  <c r="Q23" i="1" s="1"/>
  <c r="S20" i="1"/>
  <c r="P20" i="1" s="1"/>
  <c r="Q20" i="1" s="1"/>
  <c r="E18" i="1"/>
  <c r="I18" i="1" s="1"/>
  <c r="G17" i="1"/>
  <c r="S17" i="1" s="1"/>
  <c r="E30" i="1"/>
  <c r="I30" i="1" s="1"/>
  <c r="S27" i="1"/>
  <c r="P27" i="1" s="1"/>
  <c r="G26" i="1"/>
  <c r="S26" i="1" s="1"/>
  <c r="S6" i="1"/>
  <c r="E31" i="1"/>
  <c r="M31" i="1" s="1"/>
  <c r="S12" i="1"/>
  <c r="P12" i="1" s="1"/>
  <c r="Q12" i="1" s="1"/>
  <c r="S25" i="1"/>
  <c r="P25" i="1" s="1"/>
  <c r="Q25" i="1" s="1"/>
  <c r="S11" i="1"/>
  <c r="P11" i="1" s="1"/>
  <c r="Q11" i="1" s="1"/>
  <c r="E28" i="1"/>
  <c r="Q28" i="1" s="1"/>
  <c r="I21" i="1"/>
  <c r="R6" i="1"/>
  <c r="L6" i="1"/>
  <c r="S21" i="1"/>
  <c r="P21" i="1" s="1"/>
  <c r="Q21" i="1" s="1"/>
  <c r="E29" i="1"/>
  <c r="I29" i="1" s="1"/>
  <c r="P31" i="1"/>
  <c r="Q38" i="1"/>
  <c r="S37" i="1"/>
  <c r="P37" i="1" s="1"/>
  <c r="E37" i="1"/>
  <c r="M37" i="1" s="1"/>
  <c r="M38" i="1"/>
  <c r="I33" i="1"/>
  <c r="L26" i="1"/>
  <c r="P33" i="1"/>
  <c r="I34" i="1"/>
  <c r="Q34" i="1"/>
  <c r="N17" i="1"/>
  <c r="M32" i="1"/>
  <c r="P29" i="1"/>
  <c r="H6" i="1"/>
  <c r="S32" i="1"/>
  <c r="P32" i="1" s="1"/>
  <c r="Q32" i="1" s="1"/>
  <c r="P19" i="1"/>
  <c r="Q19" i="1" s="1"/>
  <c r="E27" i="1"/>
  <c r="M27" i="1" s="1"/>
  <c r="I32" i="1"/>
  <c r="R26" i="1"/>
  <c r="H26" i="1"/>
  <c r="I22" i="1"/>
  <c r="I20" i="1"/>
  <c r="M25" i="1"/>
  <c r="S24" i="1"/>
  <c r="P24" i="1" s="1"/>
  <c r="Q24" i="1" s="1"/>
  <c r="I24" i="1"/>
  <c r="M21" i="1"/>
  <c r="I25" i="1"/>
  <c r="M24" i="1"/>
  <c r="I8" i="1"/>
  <c r="M23" i="1"/>
  <c r="M9" i="1"/>
  <c r="M20" i="1"/>
  <c r="M22" i="1"/>
  <c r="M19" i="1"/>
  <c r="P18" i="1"/>
  <c r="I23" i="1"/>
  <c r="I19" i="1"/>
  <c r="H17" i="1"/>
  <c r="S15" i="1"/>
  <c r="P15" i="1" s="1"/>
  <c r="Q15" i="1" s="1"/>
  <c r="S13" i="1"/>
  <c r="P13" i="1" s="1"/>
  <c r="Q13" i="1" s="1"/>
  <c r="S14" i="1"/>
  <c r="P14" i="1" s="1"/>
  <c r="Q14" i="1" s="1"/>
  <c r="S9" i="1"/>
  <c r="P9" i="1" s="1"/>
  <c r="Q9" i="1" s="1"/>
  <c r="S8" i="1"/>
  <c r="P8" i="1" s="1"/>
  <c r="Q8" i="1" s="1"/>
  <c r="I15" i="1"/>
  <c r="M15" i="1"/>
  <c r="I11" i="1"/>
  <c r="M11" i="1"/>
  <c r="M14" i="1"/>
  <c r="I14" i="1"/>
  <c r="M10" i="1"/>
  <c r="I10" i="1"/>
  <c r="I9" i="1"/>
  <c r="M8" i="1"/>
  <c r="I13" i="1"/>
  <c r="M13" i="1"/>
  <c r="M12" i="1"/>
  <c r="I12" i="1"/>
  <c r="G15" i="14"/>
  <c r="G16" i="14"/>
  <c r="G13" i="14"/>
  <c r="G12" i="14"/>
  <c r="G14" i="14"/>
  <c r="G11" i="14"/>
  <c r="G10" i="14"/>
  <c r="J4" i="14"/>
  <c r="K4" i="14"/>
  <c r="F4" i="14"/>
  <c r="C18" i="14"/>
  <c r="C17" i="14"/>
  <c r="B18" i="14"/>
  <c r="B17" i="14"/>
  <c r="C16" i="14"/>
  <c r="B16" i="14"/>
  <c r="E16" i="14"/>
  <c r="H16" i="14"/>
  <c r="L16" i="14"/>
  <c r="R16" i="14"/>
  <c r="S16" i="14"/>
  <c r="E17" i="14"/>
  <c r="H17" i="14"/>
  <c r="L17" i="14"/>
  <c r="R17" i="14"/>
  <c r="S17" i="14"/>
  <c r="E18" i="14"/>
  <c r="I18" i="14" s="1"/>
  <c r="H18" i="14"/>
  <c r="L18" i="14"/>
  <c r="R18" i="14"/>
  <c r="S18" i="14"/>
  <c r="P18" i="14" s="1"/>
  <c r="Q18" i="14" s="1"/>
  <c r="C15" i="14"/>
  <c r="B15" i="14"/>
  <c r="C14" i="14"/>
  <c r="C13" i="14"/>
  <c r="C12" i="14"/>
  <c r="B14" i="14"/>
  <c r="B13" i="14"/>
  <c r="B12" i="14"/>
  <c r="E13" i="14"/>
  <c r="H13" i="14"/>
  <c r="L13" i="14"/>
  <c r="R13" i="14"/>
  <c r="S13" i="14"/>
  <c r="P13" i="14" s="1"/>
  <c r="Q13" i="14" s="1"/>
  <c r="E14" i="14"/>
  <c r="H14" i="14"/>
  <c r="L14" i="14"/>
  <c r="R14" i="14"/>
  <c r="S14" i="14"/>
  <c r="E15" i="14"/>
  <c r="H15" i="14"/>
  <c r="L15" i="14"/>
  <c r="R15" i="14"/>
  <c r="S15" i="14"/>
  <c r="C11" i="14"/>
  <c r="C10" i="14"/>
  <c r="C9" i="14"/>
  <c r="B11" i="14"/>
  <c r="B10" i="14"/>
  <c r="B9" i="14"/>
  <c r="E9" i="14"/>
  <c r="I9" i="14" s="1"/>
  <c r="H9" i="14"/>
  <c r="L9" i="14"/>
  <c r="R9" i="14"/>
  <c r="S9" i="14"/>
  <c r="E10" i="14"/>
  <c r="H10" i="14"/>
  <c r="L10" i="14"/>
  <c r="R10" i="14"/>
  <c r="S10" i="14"/>
  <c r="E11" i="14"/>
  <c r="H11" i="14"/>
  <c r="L11" i="14"/>
  <c r="R11" i="14"/>
  <c r="S11" i="14"/>
  <c r="E12" i="14"/>
  <c r="H12" i="14"/>
  <c r="L12" i="14"/>
  <c r="R12" i="14"/>
  <c r="S12" i="14"/>
  <c r="P12" i="14" s="1"/>
  <c r="Q12" i="14" s="1"/>
  <c r="E8" i="14"/>
  <c r="H8" i="14"/>
  <c r="L8" i="14"/>
  <c r="R8" i="14"/>
  <c r="S8" i="14"/>
  <c r="E7" i="14"/>
  <c r="H7" i="14"/>
  <c r="L7" i="14"/>
  <c r="R7" i="14"/>
  <c r="S7" i="14"/>
  <c r="C7" i="14"/>
  <c r="C6" i="14"/>
  <c r="B7" i="14"/>
  <c r="B6" i="14"/>
  <c r="C5" i="14"/>
  <c r="B5" i="14"/>
  <c r="F6" i="16"/>
  <c r="C7" i="16"/>
  <c r="C6" i="16"/>
  <c r="B7" i="16"/>
  <c r="B6" i="16"/>
  <c r="E6" i="16"/>
  <c r="I6" i="16" s="1"/>
  <c r="H6" i="16"/>
  <c r="L6" i="16"/>
  <c r="R6" i="16"/>
  <c r="S6" i="16"/>
  <c r="E7" i="16"/>
  <c r="M7" i="16" s="1"/>
  <c r="H7" i="16"/>
  <c r="L7" i="16"/>
  <c r="R7" i="16"/>
  <c r="P7" i="16" s="1"/>
  <c r="Q7" i="16" s="1"/>
  <c r="S7" i="16"/>
  <c r="G7" i="20"/>
  <c r="G6" i="20"/>
  <c r="G5" i="20"/>
  <c r="G5" i="19"/>
  <c r="G7" i="19"/>
  <c r="I15" i="14" l="1"/>
  <c r="Q33" i="1"/>
  <c r="Q30" i="1"/>
  <c r="I31" i="1"/>
  <c r="M18" i="1"/>
  <c r="E26" i="1"/>
  <c r="M26" i="1" s="1"/>
  <c r="M30" i="1"/>
  <c r="P6" i="1"/>
  <c r="Q18" i="1"/>
  <c r="I37" i="1"/>
  <c r="M29" i="1"/>
  <c r="Q31" i="1"/>
  <c r="G5" i="1"/>
  <c r="G4" i="1" s="1"/>
  <c r="R17" i="1"/>
  <c r="P17" i="1" s="1"/>
  <c r="N5" i="1"/>
  <c r="N4" i="1" s="1"/>
  <c r="I28" i="1"/>
  <c r="M28" i="1"/>
  <c r="I27" i="1"/>
  <c r="Q29" i="1"/>
  <c r="Q37" i="1"/>
  <c r="L17" i="1"/>
  <c r="E17" i="1"/>
  <c r="Q27" i="1"/>
  <c r="P26" i="1"/>
  <c r="E6" i="1"/>
  <c r="M6" i="1" s="1"/>
  <c r="P14" i="14"/>
  <c r="Q14" i="14" s="1"/>
  <c r="G4" i="14"/>
  <c r="P15" i="14"/>
  <c r="Q15" i="14" s="1"/>
  <c r="I14" i="14"/>
  <c r="M13" i="14"/>
  <c r="P11" i="14"/>
  <c r="Q11" i="14" s="1"/>
  <c r="M11" i="14"/>
  <c r="I17" i="14"/>
  <c r="M7" i="14"/>
  <c r="M16" i="14"/>
  <c r="M18" i="14"/>
  <c r="M17" i="14"/>
  <c r="P16" i="14"/>
  <c r="Q16" i="14" s="1"/>
  <c r="P17" i="14"/>
  <c r="Q17" i="14" s="1"/>
  <c r="I16" i="14"/>
  <c r="M15" i="14"/>
  <c r="M14" i="14"/>
  <c r="I13" i="14"/>
  <c r="I12" i="14"/>
  <c r="I11" i="14"/>
  <c r="P10" i="14"/>
  <c r="Q10" i="14" s="1"/>
  <c r="I10" i="14"/>
  <c r="P9" i="14"/>
  <c r="Q9" i="14" s="1"/>
  <c r="M12" i="14"/>
  <c r="M10" i="14"/>
  <c r="M9" i="14"/>
  <c r="P8" i="14"/>
  <c r="Q8" i="14"/>
  <c r="M8" i="14"/>
  <c r="I8" i="14"/>
  <c r="P7" i="14"/>
  <c r="Q7" i="14" s="1"/>
  <c r="I7" i="14"/>
  <c r="P6" i="16"/>
  <c r="Q6" i="16" s="1"/>
  <c r="I7" i="16"/>
  <c r="M6" i="16"/>
  <c r="I26" i="1" l="1"/>
  <c r="Q26" i="1"/>
  <c r="M17" i="1"/>
  <c r="Q17" i="1"/>
  <c r="I17" i="1"/>
  <c r="Q6" i="1"/>
  <c r="I6" i="1"/>
  <c r="R7" i="20"/>
  <c r="L7" i="20"/>
  <c r="H7" i="20"/>
  <c r="E7" i="20"/>
  <c r="C7" i="20"/>
  <c r="B7" i="20"/>
  <c r="R6" i="20"/>
  <c r="L6" i="20"/>
  <c r="H6" i="20"/>
  <c r="E6" i="20"/>
  <c r="C6" i="20"/>
  <c r="B6" i="20"/>
  <c r="R5" i="20"/>
  <c r="L5" i="20"/>
  <c r="H5" i="20"/>
  <c r="E5" i="20"/>
  <c r="C5" i="20"/>
  <c r="B5" i="20"/>
  <c r="O4" i="20"/>
  <c r="N4" i="20"/>
  <c r="K4" i="20"/>
  <c r="J4" i="20"/>
  <c r="F4" i="20"/>
  <c r="L4" i="20" l="1"/>
  <c r="H4" i="20"/>
  <c r="G4" i="20"/>
  <c r="I7" i="20"/>
  <c r="M7" i="20"/>
  <c r="I5" i="20"/>
  <c r="M5" i="20"/>
  <c r="I6" i="20"/>
  <c r="M6" i="20"/>
  <c r="S5" i="20"/>
  <c r="P5" i="20" s="1"/>
  <c r="Q5" i="20" s="1"/>
  <c r="S6" i="20"/>
  <c r="P6" i="20" s="1"/>
  <c r="Q6" i="20" s="1"/>
  <c r="S7" i="20"/>
  <c r="P7" i="20" s="1"/>
  <c r="Q7" i="20" s="1"/>
  <c r="R4" i="20"/>
  <c r="E4" i="20" l="1"/>
  <c r="S4" i="20"/>
  <c r="I4" i="20" l="1"/>
  <c r="P4" i="20"/>
  <c r="M4" i="20"/>
  <c r="R7" i="19"/>
  <c r="L7" i="19"/>
  <c r="H7" i="19"/>
  <c r="E7" i="19"/>
  <c r="C7" i="19"/>
  <c r="B7" i="19"/>
  <c r="R5" i="19"/>
  <c r="L5" i="19"/>
  <c r="K4" i="19"/>
  <c r="G4" i="19"/>
  <c r="C5" i="19"/>
  <c r="B5" i="19"/>
  <c r="O4" i="19"/>
  <c r="L4" i="19" s="1"/>
  <c r="N4" i="19"/>
  <c r="J4" i="19"/>
  <c r="F4" i="19"/>
  <c r="E5" i="19" l="1"/>
  <c r="M5" i="19" s="1"/>
  <c r="I7" i="19"/>
  <c r="M7" i="19"/>
  <c r="U4" i="20"/>
  <c r="Q4" i="20"/>
  <c r="T4" i="20" s="1"/>
  <c r="S4" i="19"/>
  <c r="E4" i="19"/>
  <c r="H4" i="19"/>
  <c r="R4" i="19"/>
  <c r="H5" i="19"/>
  <c r="S5" i="19"/>
  <c r="P5" i="19" s="1"/>
  <c r="Q5" i="19" s="1"/>
  <c r="S7" i="19"/>
  <c r="P7" i="19" s="1"/>
  <c r="Q7" i="19" s="1"/>
  <c r="I5" i="19" l="1"/>
  <c r="P4" i="19"/>
  <c r="M4" i="19"/>
  <c r="I4" i="19"/>
  <c r="U4" i="19" l="1"/>
  <c r="Q4" i="19"/>
  <c r="T4" i="19" s="1"/>
  <c r="E7" i="1" l="1"/>
  <c r="L7" i="1"/>
  <c r="H7" i="1"/>
  <c r="S7" i="1"/>
  <c r="R7" i="1" l="1"/>
  <c r="P7" i="1" s="1"/>
  <c r="Q7" i="1" s="1"/>
  <c r="I7" i="1"/>
  <c r="M7" i="1"/>
  <c r="O4" i="16" l="1"/>
  <c r="K4" i="16"/>
  <c r="C5" i="16"/>
  <c r="B5" i="16"/>
  <c r="R5" i="16"/>
  <c r="L5" i="16"/>
  <c r="H5" i="16"/>
  <c r="E5" i="16"/>
  <c r="N4" i="16"/>
  <c r="J4" i="16"/>
  <c r="F4" i="16"/>
  <c r="L4" i="16" l="1"/>
  <c r="G4" i="16"/>
  <c r="E4" i="16" s="1"/>
  <c r="S5" i="16"/>
  <c r="P5" i="16" s="1"/>
  <c r="Q5" i="16" s="1"/>
  <c r="I5" i="16"/>
  <c r="H4" i="16"/>
  <c r="M5" i="16"/>
  <c r="R4" i="16"/>
  <c r="M4" i="16" l="1"/>
  <c r="S4" i="16"/>
  <c r="P4" i="16"/>
  <c r="Q4" i="16" s="1"/>
  <c r="I4" i="16"/>
  <c r="T4" i="16" l="1"/>
  <c r="N4" i="14" l="1"/>
  <c r="O4" i="14"/>
  <c r="R6" i="14"/>
  <c r="R5" i="14"/>
  <c r="H6" i="14"/>
  <c r="L6" i="14"/>
  <c r="S6" i="14"/>
  <c r="L5" i="14"/>
  <c r="H5" i="14"/>
  <c r="S5" i="14"/>
  <c r="R4" i="14" l="1"/>
  <c r="K15" i="20"/>
  <c r="E5" i="14"/>
  <c r="I5" i="14" s="1"/>
  <c r="E6" i="14"/>
  <c r="M6" i="14" s="1"/>
  <c r="P5" i="14"/>
  <c r="P6" i="14"/>
  <c r="H4" i="14"/>
  <c r="L4" i="14"/>
  <c r="H5" i="1"/>
  <c r="F15" i="20" l="1"/>
  <c r="G15" i="20"/>
  <c r="M5" i="14"/>
  <c r="I6" i="14"/>
  <c r="Q5" i="14"/>
  <c r="S5" i="1"/>
  <c r="E5" i="1"/>
  <c r="I5" i="1" s="1"/>
  <c r="Q6" i="14"/>
  <c r="S4" i="14"/>
  <c r="E4" i="14"/>
  <c r="M4" i="14" s="1"/>
  <c r="P4" i="14" l="1"/>
  <c r="Q4" i="14" s="1"/>
  <c r="I4" i="14"/>
  <c r="T4" i="14" l="1"/>
  <c r="J15" i="20"/>
  <c r="L5" i="1"/>
  <c r="R5" i="1"/>
  <c r="P5" i="1" s="1"/>
  <c r="Q5" i="1" s="1"/>
  <c r="T9" i="1" l="1"/>
  <c r="T26" i="1"/>
  <c r="T5" i="1" l="1"/>
  <c r="E4" i="1" l="1"/>
  <c r="E15" i="20" l="1"/>
  <c r="H4" i="1"/>
  <c r="H15" i="20" s="1"/>
  <c r="I4" i="1" l="1"/>
  <c r="I15" i="20" s="1"/>
  <c r="N15" i="20" l="1"/>
  <c r="R4" i="1"/>
  <c r="R15" i="20" l="1"/>
  <c r="O15" i="20" l="1"/>
  <c r="L4" i="1"/>
  <c r="S4" i="1"/>
  <c r="S15" i="20" l="1"/>
  <c r="M4" i="1"/>
  <c r="L15" i="20"/>
  <c r="P4" i="1"/>
  <c r="Q4" i="1" l="1"/>
  <c r="T4" i="1" s="1"/>
  <c r="P15" i="20"/>
  <c r="Q15" i="20" s="1"/>
  <c r="T3" i="1"/>
  <c r="M15" i="20"/>
  <c r="R120" i="1"/>
  <c r="P120" i="1" s="1"/>
  <c r="Q120" i="1" s="1"/>
  <c r="L120" i="1"/>
  <c r="M120" i="1" s="1"/>
</calcChain>
</file>

<file path=xl/sharedStrings.xml><?xml version="1.0" encoding="utf-8"?>
<sst xmlns="http://schemas.openxmlformats.org/spreadsheetml/2006/main" count="292" uniqueCount="63">
  <si>
    <t>รายการ</t>
  </si>
  <si>
    <t>วันที่อนุมัติ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</si>
  <si>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</si>
  <si>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</si>
  <si>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</si>
  <si>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</si>
  <si>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%</t>
  </si>
  <si>
    <t>เบิกจ่าย</t>
  </si>
  <si>
    <t>ผูกพัน</t>
  </si>
  <si>
    <t>คงเหลือ</t>
  </si>
  <si>
    <t>ผู้จัดทำ  นางวรรณภา  สุขกระโทก</t>
  </si>
  <si>
    <t>โทร.054217186 ต่อ 223</t>
  </si>
  <si>
    <t>FAX 054230122</t>
  </si>
  <si>
    <t>e-mail: wannapa_suk@hotmail.co.th</t>
  </si>
  <si>
    <t>สำนักชลงานประทานที่ 2</t>
  </si>
  <si>
    <t>รหัส</t>
  </si>
  <si>
    <t>งบประมาณ</t>
  </si>
  <si>
    <t>สำนักงานชลประทานที่ 2</t>
  </si>
  <si>
    <t>โอนไปคลัง เชียงราย</t>
  </si>
  <si>
    <t>10สค.61</t>
  </si>
  <si>
    <t>โครงการอันเนื่องมาจากพระราชดำริ  38015</t>
  </si>
  <si>
    <t>13กย.61</t>
  </si>
  <si>
    <t>ค่ารังวัดโครงการฝายเชียงราย จ.เชียงราย (งานซ่อมเขตชลประทาน)</t>
  </si>
  <si>
    <t>0700345053200070</t>
  </si>
  <si>
    <t>ผลผลิตที่ ส่งเสริมการดำเนินงานอันเนื่องมาจากพระราชดำริ (40084)</t>
  </si>
  <si>
    <t>ซ่อมแซมจังหวัดลำปาง</t>
  </si>
  <si>
    <t>18ตค.61</t>
  </si>
  <si>
    <t>ซ่อมแซมจังหวัดพะเยา</t>
  </si>
  <si>
    <t>ซ่อมแซมจังหวัดน่าน</t>
  </si>
  <si>
    <t>ปรับปรุงจังหวัดลำปาง</t>
  </si>
  <si>
    <t>ปรับปรุงจังหวัดพะเยา</t>
  </si>
  <si>
    <t>ผลผลิตที่ โครงการปรับปรุงงานชลประทาน  (49052)</t>
  </si>
  <si>
    <t>16ตค.61</t>
  </si>
  <si>
    <t>ปรับปรุงลำปางจังหวัดลำปาง</t>
  </si>
  <si>
    <t>ผลผลิตที่ โครงการป้องกันละบรรเทาภัยจากน้ำ  (49054)</t>
  </si>
  <si>
    <t>12ตค.61</t>
  </si>
  <si>
    <t>ซ่อมแซมจังหวัดเชียงราย</t>
  </si>
  <si>
    <t>ผลผลิตที่ โครงการจัดหาแหล่งน้ำและเพิ่มพื้นที่ชลประทาน  (49053)</t>
  </si>
  <si>
    <t>17ตค.61</t>
  </si>
  <si>
    <t>เขื่อนแม่สรวย จ.เชียงราย</t>
  </si>
  <si>
    <t>จังหวัดลำปาง</t>
  </si>
  <si>
    <t>ค่าสำรวจแผนที่ภูมิประเทศ</t>
  </si>
  <si>
    <t>ค่าสำรวจธรณีและปฐพีวิทยา</t>
  </si>
  <si>
    <t>22 ตค.61</t>
  </si>
  <si>
    <t>ค่าศึกษา สำรวจ ออกแบบ</t>
  </si>
  <si>
    <t>22ตค.61</t>
  </si>
  <si>
    <t>ค่ารังวัดและออกหนังสือสำคัญที่หลวง</t>
  </si>
  <si>
    <t>28ตค.61</t>
  </si>
  <si>
    <t>ปรับปรุงลำปางจังหวัดเชียงราย</t>
  </si>
  <si>
    <t>19ตค.61</t>
  </si>
  <si>
    <t>ปรับปรุงลำปางจังหวัดพะเยา</t>
  </si>
  <si>
    <t>ปรับปรุงลำปางจังหวัดน่าน</t>
  </si>
  <si>
    <t>ค่าใช้จ่ายในการบริหารที่ดิน</t>
  </si>
  <si>
    <t>29ตค.61</t>
  </si>
  <si>
    <t>ผลผลิตที่ โครงการบริหารจัดการทรัพยากรธรรมชาติและสิ่งแวดล้อมภาคเหนือ   (280A5)</t>
  </si>
  <si>
    <t>5พย.61</t>
  </si>
  <si>
    <t>13 พย.61</t>
  </si>
  <si>
    <t>21พย.61</t>
  </si>
  <si>
    <t>รายงานผลการเบิกจ่าย เงินงบประมาณ 2562   สำนักงานชลประทานที่ 2  ข้อมูลถึงณ วันที่  30  พฤศจิกายน  2561</t>
  </si>
  <si>
    <t>รายงานผลการเบิกจ่าย   ปีงบประมาณ 2561   สำนักงานชลประทานที่ 2  ข้อมูลถึงณ วันที่  30  พฤศจิกายน  2561</t>
  </si>
  <si>
    <t>รายงานผลการเบิกจ่าย   ปีงบประมาณ 2560   สำนักงานชลประทานที่ 2  ข้อมูลถึงณ วันที่ 30  พฤศจิกายน 2561</t>
  </si>
  <si>
    <t>รายงานผลการเบิกจ่าย เงินงบประมาณ 2561 โครงการก่อสร้าง  สำนักงานชลประทานที่ 2  ข้อมูลถึงณ วันที่ 30 พฤศจิกายน  2561</t>
  </si>
  <si>
    <t>รายงานผลการเบิกจ่าย เงินงบประมาณ 2561  ส่วนบริหารเครื่องจักรกลที่ 1  สำนักงานชลประทานที่ 2  ข้อมูลถึงณ วันที่ 30  พฤศจิกายน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</si>
</sst>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sz val="16"/>
      <name val="Angsana New"/>
      <family val="1"/>
    </font>
    <font>
      <sz val="16"/>
      <color rgb="FF00B0F0"/>
      <name val="Angsana New"/>
      <family val="1"/>
    </font>
    <font>
      <sz val="16"/>
      <color rgb="FF00B050"/>
      <name val="Angsana New"/>
      <family val="1"/>
    </font>
    <font>
      <sz val="16"/>
      <color rgb="FFC00000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3" fontId="3" fillId="2" borderId="11" xfId="0" applyNumberFormat="1" applyFont="1" applyFill="1" applyBorder="1"/>
    <xf numFmtId="43" fontId="3" fillId="0" borderId="5" xfId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3" fontId="3" fillId="0" borderId="10" xfId="1" applyFont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43" fontId="3" fillId="0" borderId="0" xfId="0" applyNumberFormat="1" applyFont="1"/>
    <xf numFmtId="43" fontId="3" fillId="0" borderId="9" xfId="1" applyFont="1" applyBorder="1" applyAlignment="1">
      <alignment vertical="top" wrapText="1"/>
    </xf>
    <xf numFmtId="0" fontId="3" fillId="3" borderId="5" xfId="0" applyFont="1" applyFill="1" applyBorder="1" applyAlignment="1">
      <alignment wrapText="1"/>
    </xf>
    <xf numFmtId="43" fontId="3" fillId="3" borderId="5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43" fontId="3" fillId="4" borderId="10" xfId="1" applyFont="1" applyFill="1" applyBorder="1" applyAlignment="1">
      <alignment wrapText="1"/>
    </xf>
    <xf numFmtId="43" fontId="3" fillId="4" borderId="10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43" fontId="7" fillId="0" borderId="5" xfId="1" applyFont="1" applyBorder="1" applyAlignment="1">
      <alignment vertical="top" wrapText="1"/>
    </xf>
    <xf numFmtId="43" fontId="7" fillId="0" borderId="7" xfId="1" applyFont="1" applyBorder="1" applyAlignment="1">
      <alignment vertical="top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6" fillId="3" borderId="5" xfId="0" applyNumberFormat="1" applyFont="1" applyFill="1" applyBorder="1" applyAlignment="1">
      <alignment wrapText="1"/>
    </xf>
    <xf numFmtId="0" fontId="3" fillId="0" borderId="5" xfId="0" quotePrefix="1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43" fontId="7" fillId="0" borderId="0" xfId="0" applyNumberFormat="1" applyFont="1"/>
    <xf numFmtId="0" fontId="7" fillId="0" borderId="0" xfId="0" applyFont="1"/>
    <xf numFmtId="43" fontId="7" fillId="0" borderId="5" xfId="1" applyFont="1" applyBorder="1" applyAlignment="1">
      <alignment horizontal="center" wrapText="1"/>
    </xf>
    <xf numFmtId="43" fontId="7" fillId="0" borderId="7" xfId="1" applyFont="1" applyBorder="1" applyAlignment="1">
      <alignment horizontal="center" wrapText="1"/>
    </xf>
    <xf numFmtId="43" fontId="7" fillId="0" borderId="5" xfId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top"/>
    </xf>
    <xf numFmtId="43" fontId="7" fillId="0" borderId="5" xfId="1" applyFont="1" applyBorder="1" applyAlignment="1">
      <alignment wrapText="1"/>
    </xf>
    <xf numFmtId="43" fontId="7" fillId="0" borderId="7" xfId="1" applyFont="1" applyBorder="1" applyAlignment="1">
      <alignment wrapText="1"/>
    </xf>
    <xf numFmtId="43" fontId="3" fillId="0" borderId="5" xfId="1" applyFont="1" applyBorder="1" applyAlignment="1">
      <alignment wrapText="1"/>
    </xf>
    <xf numFmtId="43" fontId="3" fillId="0" borderId="7" xfId="1" applyFont="1" applyBorder="1" applyAlignment="1">
      <alignment wrapText="1"/>
    </xf>
    <xf numFmtId="43" fontId="8" fillId="0" borderId="5" xfId="1" applyFont="1" applyBorder="1" applyAlignment="1">
      <alignment wrapText="1"/>
    </xf>
    <xf numFmtId="43" fontId="8" fillId="0" borderId="7" xfId="1" applyFont="1" applyBorder="1" applyAlignment="1">
      <alignment wrapText="1"/>
    </xf>
    <xf numFmtId="43" fontId="9" fillId="0" borderId="5" xfId="1" applyFont="1" applyBorder="1" applyAlignment="1">
      <alignment wrapText="1"/>
    </xf>
    <xf numFmtId="43" fontId="9" fillId="0" borderId="7" xfId="1" applyFont="1" applyBorder="1" applyAlignment="1">
      <alignment wrapText="1"/>
    </xf>
    <xf numFmtId="43" fontId="10" fillId="0" borderId="5" xfId="1" applyFont="1" applyBorder="1" applyAlignment="1">
      <alignment wrapText="1"/>
    </xf>
    <xf numFmtId="43" fontId="10" fillId="0" borderId="7" xfId="1" applyFont="1" applyBorder="1" applyAlignment="1">
      <alignment wrapText="1"/>
    </xf>
    <xf numFmtId="43" fontId="3" fillId="0" borderId="5" xfId="1" applyFont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8" Type="http://schemas.openxmlformats.org/officeDocument/2006/relationships/externalLink" Target="externalLinks/externalLink3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595;&#3656;&#3629;&#3617;&#3649;&#3595;&#3617;&#3621;&#3635;&#3611;&#3634;&#359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595;&#3656;&#3629;&#3617;&#3649;&#3595;&#3617;&#3614;&#3632;&#3648;&#3618;&#363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95;&#3656;&#3629;&#3617;&#3649;&#3595;&#3617;&#3614;&#3632;&#3648;&#3618;&#363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595;&#3656;&#3629;&#3617;&#3649;&#3595;&#3617;&#3609;&#3656;&#3634;&#360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95;&#3656;&#3629;&#3617;&#3649;&#3595;&#3617;&#3609;&#3656;&#3634;&#360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595;&#3656;&#3629;&#3617;&#3649;&#3595;&#3617;&#3648;&#3594;&#3637;&#3618;&#3591;&#3619;&#3634;&#361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611;&#3619;&#3633;&#3610;&#3611;&#3619;&#3640;&#3591;&#3621;&#3635;&#3611;&#3634;&#359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611;&#3619;&#3633;&#3610;&#3611;&#3619;&#3640;&#3591;&#3621;&#3635;&#3611;&#3634;&#359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611;&#3619;&#3633;&#3610;&#3611;&#3619;&#3640;&#3591;&#3648;&#3594;&#3637;&#3618;&#3591;&#3619;&#3634;&#361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611;&#3619;&#3633;&#3610;&#3611;&#3619;&#3640;&#3591;&#3614;&#3632;&#3648;&#3618;&#363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611;&#3619;&#3633;&#3610;&#3611;&#3619;&#3640;&#3591;&#3609;&#3656;&#3634;&#36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0084/&#3595;&#3656;&#3629;&#3617;&#3649;&#3595;&#3617;&#3621;&#3635;&#3611;&#3634;&#359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588;&#3656;&#3634;&#3624;&#3638;&#3585;&#3625;&#3634;%20&#3626;&#3635;&#3619;&#3623;&#3592;%20&#3629;&#3629;&#3585;&#3649;&#3610;&#361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3/&#3621;&#3635;&#3611;&#3634;&#359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3/&#3588;&#3656;&#3634;&#3626;&#3635;&#3619;&#3623;&#3592;&#3649;&#3612;&#3609;&#3607;&#3637;&#3656;&#3616;&#3641;&#3617;&#3636;&#3611;&#3619;&#3632;&#3648;&#3607;&#362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588;&#3656;&#3634;&#3626;&#3635;&#3619;&#3623;&#3592;&#3649;&#3612;&#3609;&#3607;&#3637;&#3656;&#3616;&#3641;&#3617;&#3636;&#3611;&#3619;&#3632;&#3648;&#3607;&#3624;%2019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3/&#3588;&#3656;&#3634;&#3626;&#3635;&#3619;&#3623;&#3592;&#3608;&#3619;&#3603;&#3637;&#3649;&#3621;&#3632;&#3611;&#3600;&#3614;&#3637;&#3623;&#3636;&#3607;&#3618;&#3634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3/&#3588;&#3656;&#3634;&#3626;&#3635;&#3619;&#3623;&#3592;&#3608;&#3619;&#3603;&#3637;&#3649;&#3621;&#3632;&#3611;&#3600;&#3614;&#3637;&#3623;&#3636;&#3607;&#3618;&#3634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3/&#3588;&#3656;&#3634;&#3619;&#3633;&#3591;&#3623;&#3633;&#3604;&#3649;&#3621;&#3632;&#3629;&#3629;&#3585;&#3627;&#3609;&#3633;&#3591;&#3626;&#3639;&#3629;&#3626;&#3635;&#3588;&#3633;&#3597;&#3607;&#3637;&#3656;&#3627;&#3621;&#3623;&#3591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3/&#3610;&#3619;&#3636;&#3627;&#3634;&#3619;&#3592;&#3633;&#3604;&#3627;&#3634;&#3607;&#3637;&#3656;&#3604;&#3636;&#360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4/&#3648;&#3586;&#3639;&#3656;&#3629;&#3609;%20&#3649;&#3617;&#3656;&#3626;&#3619;&#3623;&#361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4/&#3611;&#3619;&#3633;&#3610;&#3611;&#3619;&#3640;&#3591;&#3621;&#3635;&#3611;&#3634;&#359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595;&#3656;&#3629;&#3617;&#3649;&#3595;&#3617;&#3614;&#3632;&#3648;&#3618;&#363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4/&#3611;&#3619;&#3633;&#3610;&#3611;&#3619;&#3640;&#3591;&#3621;&#3635;&#3611;&#3634;&#3591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280A5/&#3626;&#3606;&#3634;&#3609;&#3637;&#3626;&#3641;&#3610;&#3609;&#3657;&#3635;&#3610;&#3657;&#3634;&#3609;&#3627;&#3633;&#3623;&#3648;&#3626;&#3639;&#362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45054/&#3588;&#3656;&#3634;&#3588;&#3623;&#3610;&#3588;&#3640;&#3617;&#3591;&#3634;&#3609;&#3592;&#3657;&#3634;&#3591;&#3648;&#3627;&#3617;&#3634;&#3648;&#3586;&#3639;&#3656;&#3629;&#3609;&#3649;&#3617;&#3656;&#3626;&#3619;&#3623;&#3618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45054/&#3611;&#3619;&#3633;&#3610;&#3611;&#3619;&#3640;&#3591;&#3649;&#3617;&#3656;&#3626;&#3619;&#3623;&#361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630X2/&#3652;&#3607;&#3618;&#3618;&#3633;&#3656;&#3591;&#3618;&#3639;&#3609;%20&#3621;&#3635;&#3611;&#3634;&#3591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630X2/&#3652;&#3607;&#3618;&#3618;&#3633;&#3656;&#3591;&#3618;&#3639;&#3609;%20&#3609;&#3656;&#3634;&#360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630X2/&#3652;&#3607;&#3618;&#3618;&#3633;&#3656;&#3591;&#3618;&#3639;&#3609;%20&#3648;&#3594;&#3637;&#3618;&#3591;&#3619;&#3634;&#361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630X2/&#3652;&#3607;&#3618;&#3618;&#3633;&#3656;&#3591;&#3618;&#3639;&#3609;%20&#3614;&#3632;&#3648;&#3618;&#363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620A0/&#3595;&#3656;&#3629;&#3617;&#3649;&#3595;&#3617;&#3621;&#3635;&#3611;&#3634;&#359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48;&#3591;&#3636;&#3609;&#3585;&#3633;&#3609;&#3648;&#3627;&#3621;&#3639;&#3656;&#3629;&#3617;&#3611;&#3637;%2060/&#3648;&#3591;&#3636;&#3609;&#3585;&#3633;&#3609;&#3648;&#3627;&#3621;&#3639;&#3656;&#3629;&#3617;&#3611;&#3637;&#3649;&#3610;&#3610;&#3652;&#3617;&#3656;&#3617;&#3637;&#3627;&#3609;&#3637;&#3657;%20%20%20&#3614;&#3619;&#3610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595;&#3656;&#3629;&#3617;&#3649;&#3595;&#3617;&#3609;&#3656;&#3634;&#360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48;&#3591;&#3636;&#3609;&#3585;&#3633;&#3609;&#3648;&#3627;&#3621;&#3639;&#3656;&#3629;&#3617;&#3611;&#3637;%2060/&#3648;&#3591;&#3636;&#3609;&#3585;&#3633;&#3609;&#3649;&#3610;&#3610;&#3617;&#3637;&#3627;&#3609;&#3637;&#3657;%20%20p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&#3624;&#3641;&#3609;&#3618;&#3660;&#3605;&#3657;&#3609;&#3607;&#3640;&#3609;%2000712/00712/4505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&#3624;&#3641;&#3609;&#3618;&#3660;&#3605;&#3657;&#3609;&#3607;&#3640;&#3609;%2000712/00712/38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588;&#3640;&#3617;&#3591;&#3610;&#3611;&#3619;&#3632;&#3617;&#3634;&#3603;%2061/&#3624;&#3641;&#3609;&#3618;&#3660;&#3605;&#3657;&#3609;&#3607;&#3640;&#3609;%2000743%20&#3594;&#3656;&#3634;&#3591;&#3585;&#3621;/630X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9052/&#3588;&#3656;&#3634;&#3624;&#3638;&#3585;&#3625;&#3634;%20&#3626;&#3635;&#3619;&#3623;&#3592;%20&#3629;&#3629;&#3585;&#3649;&#3610;&#361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2/&#3588;&#3640;&#3617;&#3591;&#3610;&#3611;&#3619;&#3632;&#3617;&#3634;&#3603;%202562/40084/&#3595;&#3656;&#3629;&#3617;&#3649;&#3595;&#3617;&#3609;&#3656;&#3634;&#360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611;&#3619;&#3633;&#3610;&#3611;&#3619;&#3640;&#3591;&#3621;&#3635;&#3611;&#3634;&#359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611;&#3619;&#3633;&#3610;&#3611;&#3619;&#3640;&#3591;&#3614;&#3632;&#3648;&#3618;&#363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0084/&#3611;&#3619;&#3633;&#3610;&#3611;&#3619;&#3640;&#3591;&#3609;&#3656;&#3634;&#360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1;&#3637;&#3591;&#3610;&#3611;&#3619;&#3632;&#3617;&#3634;&#3603;%202561/&#3611;&#3637;&#3591;&#3610;&#3611;&#3619;&#3632;&#3617;&#3634;&#3603;%202562/&#3588;&#3640;&#3617;&#3591;&#3610;&#3611;&#3619;&#3632;&#3617;&#3634;&#3603;%202562/49052/&#3595;&#3656;&#3629;&#3617;&#3649;&#3595;&#3617;&#3621;&#3635;&#3611;&#3634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ซ่อมแซมทางระบายน้ำอ่างเก็บน้ำแพะทุ่งกว๋าว(อันเนื่องมาจากพระราชดำริ)ต.ทุ่งกว๋าว อ.เมืองปาน จ.ลำปาง</v>
          </cell>
          <cell r="I5" t="str">
            <v>0700340084410148</v>
          </cell>
          <cell r="J5">
            <v>5000</v>
          </cell>
        </row>
        <row r="6">
          <cell r="E6" t="str">
            <v>ซ่อมแซมคลองส่งน้ำอ่างเก็บน้ำแม่ไพร(เหมืองทุ่งโฮ้ง)ต.วอแก้ว อ.ห้างฉัตร จ.ลำปาง</v>
          </cell>
          <cell r="I6" t="str">
            <v>0700340084410149</v>
          </cell>
          <cell r="J6">
            <v>38000</v>
          </cell>
        </row>
        <row r="7">
          <cell r="E7" t="str">
            <v>ซ่อมแซมระบบส่งน้ำฝั่งซ้ายอ่างเก็บน้ำแม่ตา ต.ปงดอน อ.แจ้ห่ม จ.ลำปาง</v>
          </cell>
          <cell r="I7" t="str">
            <v>0700340084410150</v>
          </cell>
          <cell r="J7">
            <v>28000</v>
          </cell>
        </row>
        <row r="8">
          <cell r="E8" t="str">
            <v>ซ่อมแซมระบบส่งน้ำฝั่งซ้ายอ่างเก็บน้ำแม่ยาว ต.แม่สัน อ.ห้างฉัตร จ.ลำปาง</v>
          </cell>
          <cell r="I8" t="str">
            <v>0700340084410152</v>
          </cell>
          <cell r="J8">
            <v>42000</v>
          </cell>
        </row>
        <row r="9">
          <cell r="E9" t="str">
            <v>ซ่อมแซมระบบส่งน้ำฝายน้ำงาว ต.หลวงเหนือ อ.งาว จ.ลำปาง</v>
          </cell>
          <cell r="I9" t="str">
            <v>0700340084410153</v>
          </cell>
          <cell r="J9">
            <v>39900</v>
          </cell>
        </row>
        <row r="10">
          <cell r="E10" t="str">
            <v>ซ่อมแซมอาคารบังคับน้ำอ่างเก็บน้ำแม่ปอน ต.แม่สัน อ.ห้างฉัตร จ.ลำปาง</v>
          </cell>
          <cell r="I10" t="str">
            <v>0700340084410154</v>
          </cell>
          <cell r="J10">
            <v>4400</v>
          </cell>
        </row>
        <row r="11">
          <cell r="E11" t="str">
            <v>ซ่อมแซมระบบส่งน้ำอ่างเก็บน้ำแม่เกี๋ยง(เหมืองขวาบน) ต.เมืองยาว อ.ห้างฉัตร จ.ลำปาง</v>
          </cell>
          <cell r="I11" t="str">
            <v>0700340084410155</v>
          </cell>
          <cell r="J11">
            <v>47000</v>
          </cell>
        </row>
        <row r="12">
          <cell r="E12" t="str">
            <v>ซ่อมแซมคลองส่งน้ำอ่างเก็บน้ำแม่เกี๋ยง(เหมืองขวาล่าง) ต.เมืองยาว อ.ห้างฉัตร จ.ลำปาง</v>
          </cell>
          <cell r="I12" t="str">
            <v>0700340084410156</v>
          </cell>
        </row>
        <row r="13">
          <cell r="E13" t="str">
            <v>ซ่อมแซมอาคารบังคับน้ำอ่างเก็บน้ำห้วยแม่แมะ ต.ปงดอน อ.แจ้ห่ม จ.ลำปาง</v>
          </cell>
          <cell r="I13" t="str">
            <v>0700340084410157</v>
          </cell>
          <cell r="J13">
            <v>2100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ซ่อมแซมคลองส่งน้ำอ่างเก็บน้ำแม่ใจโครงการชลประทานพะเยา ต.เจริญราษฎร์ อ.แม่ใจ จ.พะเยา</v>
          </cell>
          <cell r="I5" t="str">
            <v>0700349052410457</v>
          </cell>
          <cell r="J5">
            <v>39000</v>
          </cell>
        </row>
        <row r="6">
          <cell r="E6" t="str">
            <v>ซ่อมแซมระบบสูบน้ำด้วยพลิงน้ำอ่างเก็บน้ำแม่ปืมโครงการชลประทานพะเยา ต.บ้านเหล่า อ.แม่ใจ จ.พะเยา</v>
          </cell>
          <cell r="I6" t="str">
            <v>0700349052410458</v>
          </cell>
          <cell r="J6">
            <v>22300</v>
          </cell>
        </row>
        <row r="7">
          <cell r="E7" t="str">
            <v>ซ่อมแซมคลองส่งน้ำสาย1L-LMCอ่างเก็บน้ำห้วยซ้ายโครงการชลประทานพะเยา ต.ทุ่งกล้วย อ.ภูซาง จ.พะเยา</v>
          </cell>
          <cell r="I7" t="str">
            <v>0700349052410459</v>
          </cell>
          <cell r="J7">
            <v>13800</v>
          </cell>
        </row>
        <row r="8">
          <cell r="E8" t="str">
            <v>ซ่อมแซมหินเรียงป้องกันการกักเซาะตอม่อสะพานน้ำสาย LMCและ RMCโครงการชลประทานพะเยา ต.จุน อ.จุน จ.พะเยา</v>
          </cell>
          <cell r="I8" t="str">
            <v>0700349052410460</v>
          </cell>
        </row>
        <row r="9">
          <cell r="E9" t="str">
            <v>ซ่อมแซมคลองส่งน้ำสายทุ่งขามอ่างเก็บน้ำห้วยไฟโครงการชลประทานพะเยา ต.ป่าสัก อ.ภูซาง จ.พะเยา</v>
          </cell>
          <cell r="I9" t="str">
            <v>0700349052410461</v>
          </cell>
          <cell r="J9">
            <v>44400</v>
          </cell>
        </row>
        <row r="10">
          <cell r="E10" t="str">
            <v>ซ่อมแซมคลองส่งน้ำสายดงกู่และสายห้วยเต๋ยอ่างเก็บน้ำแม่สุกโครงการชลประทานพะเยา ต.แม่สุก อ.แม่ใจ จ.พะเยา</v>
          </cell>
          <cell r="I10" t="str">
            <v>0700349052410462</v>
          </cell>
          <cell r="J10">
            <v>35000</v>
          </cell>
        </row>
        <row r="11">
          <cell r="E11" t="str">
            <v>ซ่อมแซมระบบไฟฟ้าสถานีสูบน้ำด้วยไฟฟ้าบ้านเชียงคานโครงการชลประทานพะเยา ต.เชียงบาน อ.เชียงคำ จ.พะเยา</v>
          </cell>
          <cell r="I11" t="str">
            <v>0700349052410463</v>
          </cell>
          <cell r="J11">
            <v>21000</v>
          </cell>
        </row>
        <row r="12">
          <cell r="E12" t="str">
            <v>ซ่อมแซมคลองส่งน้ำสาย5R-RMCอ่างเก็บน้ำห้วยสาโครงการชลประทานพะเยา ต.ร่มเย็น อ.เชียงคำ จ.พะเยา</v>
          </cell>
          <cell r="I12" t="str">
            <v>0700349052410464</v>
          </cell>
          <cell r="J12">
            <v>14100</v>
          </cell>
        </row>
        <row r="13">
          <cell r="E13" t="str">
            <v>ซ่อมแซมคอนกรีตดาดรับน้ำหน้าอาคารทางระบายน้ำล้นอ่างเก็บน้ำน้ำจุน โครงการชลประทานพะเยา ต.จุน อ.จุน จ.พะเยา</v>
          </cell>
          <cell r="I13" t="str">
            <v>0700349052410465</v>
          </cell>
          <cell r="J13">
            <v>46000</v>
          </cell>
        </row>
        <row r="14">
          <cell r="E14" t="str">
            <v>ซ่อมแซมคลองส่งน้ำสายทุ่งลาวอ่างเก็บน้ำห้วยบงโครงการชลประทานพะเยา ต.ทุ่งกล้วย อ.ภูซาง จ.พะเยา</v>
          </cell>
          <cell r="I14" t="str">
            <v>0700349052410466</v>
          </cell>
          <cell r="J14">
            <v>35100</v>
          </cell>
        </row>
        <row r="15">
          <cell r="E15" t="str">
            <v>ซ่อมแซงคลองส่งน้ำสายเหมืองหลวงบ้านเหล่าอ่างเก็บน้ำห้วยตุ่นโครงการชลประทานพะเยา ต.บ้านตุ่น อเมือง จ.พะเยา</v>
          </cell>
          <cell r="I15" t="str">
            <v>0700349052410467</v>
          </cell>
          <cell r="J15">
            <v>35000</v>
          </cell>
        </row>
        <row r="16">
          <cell r="E16" t="str">
            <v>ซ่อมแซมคอนกรีตคลองส่งน้ำสาย 1L-RMCอ่างเก็บน้ำห้วยเคียนโครงการชลประทานพะเยา ต.ห้วยข้าวก่ำ อ.จุน จ.พะเยา</v>
          </cell>
          <cell r="I16" t="str">
            <v>0700349052410469</v>
          </cell>
          <cell r="J16">
            <v>44500</v>
          </cell>
        </row>
        <row r="17">
          <cell r="E17" t="str">
            <v>ซ่อมแซมคลองส่งน้ำสายฝายวังเตาอ่างเก็บน้ำร่องส้านโครงการชลประทานพะเยา ต.ร่มเย็น อ.เชียงคำ จ.พะเยา</v>
          </cell>
          <cell r="I17" t="str">
            <v>0700349052410470</v>
          </cell>
          <cell r="J17">
            <v>28200</v>
          </cell>
        </row>
        <row r="18">
          <cell r="E18" t="str">
            <v>ซ่อมแซมคลองส่งน้ำท้ายท่อส่งน้ำสาย RMCอ่างเก็บน้ำแม่ปืมโครงการชลประทานพะเยา ต.บ้านเหล่า อ.แม่ใจ จ.พะเยา</v>
          </cell>
          <cell r="I18" t="str">
            <v>0700349052410471</v>
          </cell>
          <cell r="J18">
            <v>14000</v>
          </cell>
        </row>
        <row r="19">
          <cell r="E19" t="str">
            <v>ซ่อมแซมคอนกรีตคลองส่งน้ำสาย1R-1LMCอ่างเก็บน้ำแม่กำลังโครงการชลประทานพะเยา ต.ขุนควร อ.ปง จ.พะเยา</v>
          </cell>
          <cell r="I19" t="str">
            <v>0700349052410472</v>
          </cell>
          <cell r="J19">
            <v>45000</v>
          </cell>
        </row>
        <row r="20">
          <cell r="E20" t="str">
            <v>ซ่อมแซมคลองส่งน้ำรางรินฝายปางถ้ำ2 โครงการชลประทานพะเยา ต.ร่มเย็น อ.เชียงคำ จ.พะเยา</v>
          </cell>
          <cell r="I20" t="str">
            <v>0700349052410473</v>
          </cell>
          <cell r="J20">
            <v>18000</v>
          </cell>
        </row>
        <row r="21">
          <cell r="E21" t="str">
            <v>ซ่อมแซมคลองส่งน้ำสาย1R-RMCกม.12+990ถึงกม13+440อ่างเก็บน้ำแม่ปืมโครงการชลประทานพะเยา ต.บ้านเหล่า อ.แม่ใจ.จ.พะเยา</v>
          </cell>
          <cell r="I21" t="str">
            <v>0700349052410474</v>
          </cell>
          <cell r="J21">
            <v>23000</v>
          </cell>
        </row>
        <row r="22">
          <cell r="E22" t="str">
            <v>ซ่อมแซมท่อส่งน้ำสาย LMCฝายน้ำสาวลูกที่ 2 โครงการชลประทานพะเยา ต.ขุนควร อ.ปง จ.พะเยา</v>
          </cell>
          <cell r="I22" t="str">
            <v>0700349052410475</v>
          </cell>
          <cell r="J22">
            <v>39800</v>
          </cell>
        </row>
        <row r="23">
          <cell r="E23" t="str">
            <v>ซ่อมแซมคลองส่งน้ำสายดงชาวบ้านอ่างเก็บน้ำห้วยซ้ายโครงการชลประทานพะเยา ต.ทุ่งกล้วย อ.ภูซาง จ.พะเยา</v>
          </cell>
          <cell r="I23" t="str">
            <v>0700349052410476</v>
          </cell>
          <cell r="J23">
            <v>23400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8">
          <cell r="J8">
            <v>46600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ซ่อมแซมระบบส่งน้ำคลอง RMCอ่างเก็บน้ำน้ำแหง(กลางพรด.)โครงการชลประทานน่าน อ.นาน้อย จ.น่าน</v>
          </cell>
          <cell r="I5" t="str">
            <v>0700349052410448</v>
          </cell>
          <cell r="J5">
            <v>62000</v>
          </cell>
        </row>
        <row r="6">
          <cell r="E6" t="str">
            <v>ซ่อมแซมคลองส่งน้ำ1R-RMCอ่างเก็บน้ำน้ำงอบโครงการชลประทานน่าน ต.งอบ อ.ทุ่งช้าง จ.น่าน</v>
          </cell>
          <cell r="I6" t="str">
            <v>0700349052410450</v>
          </cell>
          <cell r="J6">
            <v>37000</v>
          </cell>
        </row>
        <row r="7">
          <cell r="E7" t="str">
            <v>ซ่อมแซมระบบส่งน้ำคลอง LMCกม.5+890.7+700อ่างเก็บน้ำน้ำแหง(กลาง)โครงการชลประทานน่าน อ.นาน้อย จ.น่าน</v>
          </cell>
          <cell r="I7" t="str">
            <v>0700349052410451</v>
          </cell>
          <cell r="J7">
            <v>43000</v>
          </cell>
        </row>
        <row r="8">
          <cell r="E8" t="str">
            <v>ซ่อมแซมคลองส่งน้ำ LMCอ่างเก็บน้ำน้ำและกม.1+900ถึงกม2+000 โครงการชลประทานน่าน ต.และ อ.ทุ่งช้าง จ.น่าน</v>
          </cell>
          <cell r="I8" t="str">
            <v>0700349052410452</v>
          </cell>
          <cell r="J8">
            <v>38000</v>
          </cell>
        </row>
        <row r="9">
          <cell r="E9" t="str">
            <v>ซ่อมแซมคลองส่งน้ำRMCฝายน้ำสอดโครงการชลประทานน่าน ต.และ อ.ทุ่งช้าง จ.น่าน</v>
          </cell>
          <cell r="I9" t="str">
            <v>0700349052410453</v>
          </cell>
        </row>
        <row r="10">
          <cell r="E10" t="str">
            <v>ซ่อมแซมอาคารปลายคลอง 3R-LMC อ่างเก็บน้ำน้ำแหง(กลาง พรด.)โครงการชลประทานน่าน ต.นาน้อย อ.นาน้อย จ.น่าน</v>
          </cell>
          <cell r="I10" t="str">
            <v>0700349052410455</v>
          </cell>
          <cell r="J10">
            <v>44000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9">
          <cell r="J9">
            <v>38000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ซ่อมแซมบายระบายอาคารอัดน้ำกลางคลองสายใหญ่ฝั่งซ้ายโครงการส่งน้ำและบำรุงรักษาแม่ลาว ต.ดงมะดะ อ.แม่ลาว จ.เชียงราย</v>
          </cell>
          <cell r="I5" t="str">
            <v>0700349052410364</v>
          </cell>
          <cell r="J5">
            <v>17500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ปรับปรุงคลองซอย36.7L-RMCกิ่วลม ต.บ้านเป้า อ.เมือง จ.ลำปาง</v>
          </cell>
          <cell r="I5" t="str">
            <v>0700349052420162</v>
          </cell>
          <cell r="J5">
            <v>530000</v>
          </cell>
        </row>
        <row r="6">
          <cell r="E6" t="str">
            <v>ปรับปรุงคลองซอย35.7L-RMCกิ่วลม ต.บ้านเป้า อ.เมือง จ.ลำปาง</v>
          </cell>
          <cell r="I6" t="str">
            <v>0700349052420163</v>
          </cell>
          <cell r="J6">
            <v>550000</v>
          </cell>
        </row>
        <row r="7">
          <cell r="E7" t="str">
            <v>ปรับปรุงลาดตลิ่งคลองส่งน้ำสายใหญ่แม่วังฝั่งขวาโครงการส่งน้ำและบำรุงรักษาแม่วัง ต.บ่อแฮ้ว อ.เมือง จ.ลำปาง</v>
          </cell>
          <cell r="I7" t="str">
            <v>0700349052420031</v>
          </cell>
          <cell r="J7">
            <v>418700</v>
          </cell>
        </row>
        <row r="8">
          <cell r="E8" t="str">
            <v>ปรับปรุงฝายแม่ไพรลูกที่ 5 พร้อมอาคารประกอบ ต.หนองหล่ม อ.ห้างฉัตร จ.ลำปาง</v>
          </cell>
          <cell r="I8" t="str">
            <v>0700349052420032</v>
          </cell>
          <cell r="J8">
            <v>479000</v>
          </cell>
        </row>
        <row r="9">
          <cell r="E9" t="str">
            <v>ปรับปรุงระบบส่งน้ำอ่างเก็บน้ำแม่งอนอันเนื่องมาจากพระราชดำริระยะ 4(สิ้นสุดโครงการ) ต.บ้านแหง อ.งาว จ.ลำปาง</v>
          </cell>
          <cell r="I9" t="str">
            <v>0700349052420036</v>
          </cell>
          <cell r="J9">
            <v>300000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0">
          <cell r="E10" t="str">
            <v>ปรับปรุงระบบส่งน้ำสนับสนุนแปลงทฤษฎีใหม่พื้นที่ฝ่ายส่งน้ำและบำรุงรักษาที่ 2 อ.เมือง จ.ลำปาง</v>
          </cell>
          <cell r="I10" t="str">
            <v>0700349052410181</v>
          </cell>
          <cell r="J10">
            <v>250000</v>
          </cell>
        </row>
        <row r="11">
          <cell r="E11" t="str">
            <v>ปรับปรุงคลองซอย8+034RMCกิ่วลม อ.เมือง จ.ลำปาง</v>
          </cell>
          <cell r="I11" t="str">
            <v>0700349052410183</v>
          </cell>
          <cell r="J11">
            <v>113000</v>
          </cell>
        </row>
        <row r="12">
          <cell r="E12" t="str">
            <v>ปรับปรุงคลองซอย18.3L-RMCกิ่วลม  อ.เมือง จ.ลำปาง</v>
          </cell>
          <cell r="I12" t="str">
            <v>0700349052410184</v>
          </cell>
          <cell r="J12">
            <v>182000</v>
          </cell>
        </row>
        <row r="13">
          <cell r="E13" t="str">
            <v>ปรับปรุงคลองซอย กม5+838 RMCกิ่วลม อ.เมือง จ.ลำปาง</v>
          </cell>
          <cell r="I13" t="str">
            <v>0700349052410185</v>
          </cell>
          <cell r="J13">
            <v>112000</v>
          </cell>
        </row>
        <row r="14">
          <cell r="E14" t="str">
            <v>ปรับปรุงระบายน้ำปลายคลอง คลองซอย 1.6L-RMCกิ่วลม11.2L-RMCกิ่วลมและคลองแยกซอย15.2L-RMCกิ่วลม อ.เมือง จ.ลำปาง</v>
          </cell>
          <cell r="I14" t="str">
            <v>0700349052410186</v>
          </cell>
          <cell r="J14">
            <v>128000</v>
          </cell>
        </row>
        <row r="15">
          <cell r="E15" t="str">
            <v>ปรับปรุงท่อส่งน้ำสนับสนุนแปลงใหญ่ 9 แห่ง คลองซอย 12 RMCกิ่วลม ต.ลำปางหลวง อ.เกาะคา จ.ลำปาง</v>
          </cell>
          <cell r="I15" t="str">
            <v>0700349052410180</v>
          </cell>
          <cell r="J15">
            <v>23000</v>
          </cell>
        </row>
        <row r="16">
          <cell r="E16" t="str">
            <v>ปรับปรุงอาคารอัดน้ำกลางคลอง RMC กิ่วคอมา จำนวน 2 แห่ง อ.แจ้ห่ม จ.ลำปาง</v>
          </cell>
          <cell r="I16" t="str">
            <v>0700349052410182</v>
          </cell>
          <cell r="J16">
            <v>280000</v>
          </cell>
        </row>
        <row r="17">
          <cell r="E17" t="str">
            <v>ปรับปรุงคลองส่งน้ำสายซอย กม.8+000 คลองส่งน้ำสายใหญ่ฝั่งซ้ายท้ายเขื่อนกิ่วคอหมา ต.แจ้ห่ม อ.แจ้ห่ม จ.ลำปาง</v>
          </cell>
          <cell r="I17" t="str">
            <v>0700349052410187</v>
          </cell>
          <cell r="J17">
            <v>187000</v>
          </cell>
        </row>
        <row r="18">
          <cell r="E18" t="str">
            <v>ปรับปรุงคูส่งน้ำ กม.10+800 คลองส่งน้ำสายใหญ่ฝั่งซ้ายท้ายเขื่อนกิ่วคอหมา ต.แจ้ห่ม อ.แจ้ห่ม จ.ลำปาง</v>
          </cell>
          <cell r="I18" t="str">
            <v>0700349052410188</v>
          </cell>
          <cell r="J18">
            <v>23000</v>
          </cell>
        </row>
        <row r="19">
          <cell r="E19" t="str">
            <v>ปรับปรุงคลองแยกซอย คลองซอย 3 RMC  กิ่วคอหมา ต.แจ้ห่ม อ.แจ้ห่ม จ.ลำปาง</v>
          </cell>
          <cell r="I19" t="str">
            <v>0700349052410189</v>
          </cell>
          <cell r="J19">
            <v>21000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ปรับปรุงบ่อพักน้ำปากคลองซอย 1R-LMC ต.ดงมะดะ อ.แม่ลาว จ.เชียงราย</v>
          </cell>
          <cell r="I5" t="str">
            <v>0700349052410016</v>
          </cell>
          <cell r="J5">
            <v>90500</v>
          </cell>
        </row>
        <row r="6">
          <cell r="E6" t="str">
            <v>ปรับปรุงอาคารอัดน้ำ RMCพร้อมติดตั้งเกียร์มอเตอร์ ต.ทรายขาว อ.พาน จ.เชียงราย</v>
          </cell>
          <cell r="I6" t="str">
            <v>0700349052420190</v>
          </cell>
          <cell r="J6">
            <v>36879</v>
          </cell>
        </row>
        <row r="7">
          <cell r="E7" t="str">
            <v>ปรับปรุงอาคารอัดน้ำ LMCพร้อมติดตั้งเกียร์มอเตอร์ ต.ดงมะดะ อ.แม่ลาว จ.เชียงราย</v>
          </cell>
          <cell r="I7" t="str">
            <v>0700349052420191</v>
          </cell>
          <cell r="J7">
            <v>10705</v>
          </cell>
        </row>
        <row r="8">
          <cell r="E8" t="str">
            <v>ปรับปรุงคลองซอย 10L-RMC ต.เมืองพาน อ.พาน จ.เชียงราย</v>
          </cell>
          <cell r="I8" t="str">
            <v>0700349052420192</v>
          </cell>
          <cell r="J8">
            <v>286500</v>
          </cell>
        </row>
        <row r="9">
          <cell r="E9" t="str">
            <v>ปรับปรุงประตูระบายน้ำเจ้าวรการบัญชาโครงการส่งน้ำและบำรุงรักษาแม่ลาว อ.พาน จ.เชียงราย</v>
          </cell>
          <cell r="I9" t="str">
            <v>0700349052420034</v>
          </cell>
          <cell r="J9">
            <v>1404000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ปรับปรุงท่อลอดคลองส่งน้ำRMC กม.48+600 พร้อมระบบระบายน้ำลงหนองเล็งทราย ระยะที่ 1 ต.ศรีถ้อย อ.แม่ใจ จ.พะเยา</v>
          </cell>
          <cell r="I5" t="str">
            <v>0700349052410193</v>
          </cell>
          <cell r="J5">
            <v>264800</v>
          </cell>
        </row>
        <row r="6">
          <cell r="E6" t="str">
            <v>ปรับปรุงระบบระบายน้ำบ้านนาเจริญพร้อมอาคารประกอบ ต.อ่างทอง อ.เชียงคำ จ.พะเยา</v>
          </cell>
          <cell r="I6" t="str">
            <v>0700349052420037</v>
          </cell>
          <cell r="J6">
            <v>468700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ปรับปรุงระบบส่งน้ำฝั่งซ้ายอ่างเก็บน้ำน้ำพงและอาคารประกอบ(ขนาดกลาง) ต.พงษ์ อ.สันติสุข จ.น่าน</v>
          </cell>
          <cell r="I5" t="str">
            <v>0700349052420164</v>
          </cell>
          <cell r="J5">
            <v>408000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2">
          <cell r="J12">
            <v>38000</v>
          </cell>
        </row>
        <row r="14">
          <cell r="E14" t="str">
            <v>ซ่อมแซมทางระบายน้ำและหินคลุกสันทำนบอ่างเก็บน้ำแม่แมะ ต.ปงดอน อ.แจ้ห่ม จ.ลำปาง</v>
          </cell>
          <cell r="I14" t="str">
            <v>0700340084410151</v>
          </cell>
          <cell r="J14">
            <v>29000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ค่าศึกษา</v>
          </cell>
          <cell r="I5" t="str">
            <v>0700349052420002</v>
          </cell>
          <cell r="J5">
            <v>1920000</v>
          </cell>
        </row>
        <row r="6">
          <cell r="E6" t="str">
            <v>ค่าสำรวจ</v>
          </cell>
          <cell r="I6" t="str">
            <v>0700349052420002</v>
          </cell>
        </row>
        <row r="7">
          <cell r="E7" t="str">
            <v>ค่าออกแบบ</v>
          </cell>
          <cell r="I7" t="str">
            <v>0700349052420002</v>
          </cell>
          <cell r="J7">
            <v>2510000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สถานีสูบน้ำด้วยไฟฟ้าพร้อมระบบส่งน้ำบ้านหนองหอย ต.เวียงมอก อ.เถิน จ.ลำปาง</v>
          </cell>
          <cell r="I5" t="str">
            <v>0700349053420094</v>
          </cell>
          <cell r="J5">
            <v>380000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อ่างเก็บน้ำน้ำกิ จ.น่าน(ถนนเข้าหัวงาน 8.00กม.)</v>
          </cell>
          <cell r="I5" t="str">
            <v>0700349053420195</v>
          </cell>
          <cell r="J5">
            <v>1143800</v>
          </cell>
        </row>
        <row r="6">
          <cell r="E6" t="str">
            <v>ระบบส่งน้ำและอาคารประกอบโครงการระบายน้ำแม่พริก(ผาวิ่งชู้) ต.แม่พริก อ.แม่พริก จ.ลำปาง(ระบบชลประทานและอาคารประกอบ)</v>
          </cell>
          <cell r="I6" t="str">
            <v>0700349053420195</v>
          </cell>
        </row>
        <row r="7">
          <cell r="E7" t="str">
            <v>อ่างเก็บน้ำห้วยรูอันเนื่องมาจากพระราชดำริ ต.งิม อ.ปง จ.พะเยา(หัวงานและอาคารประกอบอาคารที่ทำการและบ้านพักส่วนประกอบอื่น</v>
          </cell>
          <cell r="I7" t="str">
            <v>0700349053420195</v>
          </cell>
          <cell r="J7">
            <v>555600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6">
          <cell r="J6">
            <v>1300100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อ่างเก็บน้ำน้ำกิ จ.น่าน(ถนนเข้าหัวงาน 8.00กม.)</v>
          </cell>
          <cell r="I5" t="str">
            <v>0700349053420194</v>
          </cell>
          <cell r="J5">
            <v>518560</v>
          </cell>
        </row>
        <row r="6">
          <cell r="E6" t="str">
            <v>อ่างเก็บน้ำห้วยรูอันเนื่องมาจากพระราชดำริ ต.งิม อ.ปง จ.พะเยา(หัวงานและอาคารประกอบอาคารที่ทำการและบ้านพักส่วนประกอบอื่น</v>
          </cell>
          <cell r="I6" t="str">
            <v>0700349053420194</v>
          </cell>
          <cell r="J6">
            <v>1597700</v>
          </cell>
        </row>
        <row r="7">
          <cell r="E7" t="str">
            <v>อ่างเก็บน้ำแม่เมาะ อันเนื่องมาจากพระราชดำริ ต.ปง อ.ปง จ.พะเยา(หัวงานและอาคารประกอบอาคารที่ทำการและบ้านพัก สำรวจปฐพีแหล่งวัสดุ)</v>
          </cell>
          <cell r="I7" t="str">
            <v>0700349053420194</v>
          </cell>
          <cell r="J7">
            <v>1925700</v>
          </cell>
        </row>
        <row r="8">
          <cell r="E8" t="str">
            <v>อ่างเก็บน้ำห้วยแหน ต.ป่าตัน อ.แม่ทะ จ.ลำปาง</v>
          </cell>
          <cell r="I8" t="str">
            <v>0700349053420194</v>
          </cell>
          <cell r="J8">
            <v>814500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9">
          <cell r="E9" t="str">
            <v>อ่างเก็บน้ำห้วยเดื่ออันเนื่องมาจากพระราชดำริ ต.บ้านแลง อ.เมือง จ.ลำปาง</v>
          </cell>
          <cell r="I9" t="str">
            <v>0700349053420194</v>
          </cell>
          <cell r="J9">
            <v>86000</v>
          </cell>
        </row>
        <row r="10">
          <cell r="E10" t="str">
            <v>อ่างเก็บน้ำแม่ยอนตอนบนอันเนื่องมาจากพระราชดำริ ต.สันดอนแก้ว อ.แม่ทะ จ.ลำปาง</v>
          </cell>
          <cell r="J10">
            <v>92000</v>
          </cell>
        </row>
        <row r="11">
          <cell r="E11" t="str">
            <v>อ่างเก็บน้ำห้วยขี้เหล็กอันเนื่องมาจากพระราชดำริ ต.ครั่ง อ.เชียงของ จ.เชียงราย</v>
          </cell>
          <cell r="J11">
            <v>92400</v>
          </cell>
        </row>
        <row r="12">
          <cell r="E12" t="str">
            <v>อ่างเก็บน้ำแม่ทานอันเนื่องมาจากพระราชดำริ ต.แม่ทะ อ.สบปราบ จ.ลำปาง</v>
          </cell>
          <cell r="J12">
            <v>153900</v>
          </cell>
        </row>
        <row r="13">
          <cell r="E13" t="str">
            <v>อ่างเก็บน้ำบ้านแม่แก่ง ต.แม่ถอด อ.เถิน จ.ลำปาง</v>
          </cell>
          <cell r="J13">
            <v>104300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โครงการอ่างเก็บน้ำแม่พริก(ผาวิ่งชู้) จ.ลำปาง(งานปักหลักเขตชลประทาน)</v>
          </cell>
          <cell r="I5" t="str">
            <v>0700349053420046</v>
          </cell>
          <cell r="J5">
            <v>342100</v>
          </cell>
        </row>
        <row r="6">
          <cell r="E6" t="str">
            <v>โครงการส่งน้ำและบำรุงรักษากิ่วลม-กิ่งคอหมา จ.ลำปาง(งานซ่อมเขตชลประทาน)</v>
          </cell>
          <cell r="I6" t="str">
            <v>0700349053420046</v>
          </cell>
          <cell r="J6">
            <v>1602000</v>
          </cell>
        </row>
        <row r="7">
          <cell r="E7" t="str">
            <v>โครงการชลประทานเชียงราย(โครงการพัฒนาเกษตรแม่สาย) จ.เชียงราย(งานซ่อมเขตชลประทาน)</v>
          </cell>
          <cell r="I7" t="str">
            <v>0700349053420046</v>
          </cell>
          <cell r="J7">
            <v>1450000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ค่าใช้จ่ายในการบริหารงานจัดหาที่ดิน  ฝ่ายจัดหาที่ดิน 2</v>
          </cell>
          <cell r="I5" t="str">
            <v>0700349053200062</v>
          </cell>
          <cell r="J5">
            <v>1500000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เขื่อนหัวงานและอาคารประกอบพร้อมส่วนประกอบอื่นโครงการปับปรุงเขื่อนแม่สรวย จ.เชียงราย</v>
          </cell>
          <cell r="I5" t="str">
            <v>0700349054420038</v>
          </cell>
          <cell r="J5">
            <v>29090300</v>
          </cell>
        </row>
        <row r="6">
          <cell r="E6" t="str">
    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6" t="str">
            <v>0700349054420039</v>
          </cell>
          <cell r="J6">
            <v>398100</v>
          </cell>
        </row>
        <row r="7">
          <cell r="E7" t="str">
            <v>ค่าควบคุมงานจ้างเหมาเขื่อนหัวงานและอาคารประกอบพร้อมส่วนประกอบอื่นโครงการปรับปรุงเขื่อนแม่สรวย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7" t="str">
            <v>0700349054410024</v>
          </cell>
          <cell r="J7">
            <v>509100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ปรับปรุงขยายทางระบายน้ำพร้อมอาคารประกอบแม่น้ำวังด้านท้ายเขื่อนกิ่วลม(ระยะที่2)ต.บ้านแลง อ.เมือง จ.ลำปาง</v>
          </cell>
          <cell r="I5" t="str">
            <v>0700349054420060</v>
          </cell>
        </row>
        <row r="6">
          <cell r="E6" t="str">
            <v>ปรับปรุงขยายทางระบายน้ำพร้อมอาคารประกอบท้ายเขื่อนโครงการส่งน้ำและบำรุงรักษากิ่วลม-กิ่วคอหมา จ.ลำปาง</v>
          </cell>
          <cell r="I6" t="str">
            <v>0700349054420119</v>
          </cell>
        </row>
        <row r="7">
          <cell r="E7" t="str">
            <v>จัดหาและติดตั้งเครื่องมือตรวจวัดพฤติกรรมเขื่อนอ่างเก็บน้ำห้วยแม่แก่ง ต.แม่ถอด อ.เถิน จ.ลำปาง</v>
          </cell>
          <cell r="I7" t="str">
            <v>0700349054410001</v>
          </cell>
          <cell r="J7">
            <v>263554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ซ่อมแซมท่อส่งน้ำบ้านขุนน้ำต้มโครางการหลวงปางค่า ต.ผาช้างน้อย อ.ปง จ.พะเยา</v>
          </cell>
          <cell r="I5" t="str">
            <v>0700340084410158</v>
          </cell>
          <cell r="J5">
            <v>46000</v>
          </cell>
        </row>
        <row r="6">
          <cell r="E6" t="str">
            <v>ซ่อมแซมคลองส่งน้ำสายป้อมตำรวจอ่างเก็บน้ำห้วยม่วง(ห้วยแฮ่)ต.บ้านตุ่น อ.เมือง จ.พะเยา</v>
          </cell>
          <cell r="I6" t="str">
            <v>0700340084410174</v>
          </cell>
          <cell r="J6">
            <v>14000</v>
          </cell>
        </row>
        <row r="7">
          <cell r="E7" t="str">
            <v>ซ่อมแซมคลองส่งน้ำสายทุ่งขามกม.0+800ถึงกม.1+600อ่างเก็บน้ำห้วยไฟ ต.ป่าสัก อ.ภูซาง จ.พะเยา</v>
          </cell>
          <cell r="I7" t="str">
            <v>0700340084410175</v>
          </cell>
          <cell r="J7">
            <v>42000</v>
          </cell>
        </row>
        <row r="8">
          <cell r="E8" t="str">
            <v>ซ่อมแซมคลองส่งน้ำสายงฝายต้นไฮ อ่างเก็บน้ำห้วยไฟ ต.ภูซาง อ.ภูซาง จ.พะเยา</v>
          </cell>
          <cell r="I8" t="str">
            <v>0700340084410176</v>
          </cell>
          <cell r="J8">
            <v>32700</v>
          </cell>
        </row>
        <row r="9">
          <cell r="E9" t="str">
            <v>ซ่อมแซมคลองส่งน้ำสาย2L-LMC-4L-LMCอ่างเก็บน้ำห้วยสา ต.ร่มเย็น อ.เชียงคำ จ.พะเยา</v>
          </cell>
          <cell r="I9" t="str">
            <v>0700340084410177</v>
          </cell>
          <cell r="J9">
            <v>23400</v>
          </cell>
        </row>
        <row r="10">
          <cell r="E10" t="str">
            <v>ซ่อมแซมคลองส่งน้ำสายวังเตากลางอ่างเก็บน้ำร่องส้าน ต.ใหม่ร่มเย็น อ.เชียงคำ จ.พะเยา</v>
          </cell>
          <cell r="I10" t="str">
            <v>0700340084410178</v>
          </cell>
          <cell r="J10">
            <v>23400</v>
          </cell>
        </row>
        <row r="11">
          <cell r="E11" t="str">
            <v>ซ่อมแซมคลองส่งน้ำสายทุ่งกลางอ่างเก็บน้ำห้วยไฟ ต.ภูซาง อ.ภูซาง จ.พะเยา</v>
          </cell>
          <cell r="I11" t="str">
            <v>0700340084410179</v>
          </cell>
          <cell r="J11">
            <v>18600</v>
          </cell>
        </row>
        <row r="12">
          <cell r="E12" t="str">
            <v>ซ่อมแซมคลองส่งน้ำสายทุ่งเหลายาวอ่างเก็บน้ำห้วยยัด ต.แม่ลาว อ.เชียงคำ จ.พะเยา</v>
          </cell>
          <cell r="I12" t="str">
            <v>0700340084410180</v>
          </cell>
          <cell r="J12">
            <v>14100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640000</v>
          </cell>
        </row>
        <row r="6">
          <cell r="J6">
            <v>963000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สถานีสูบน้ำด้วยไฟฟ้าพร้อมระบบส่งน้ำบ้านหัวเสือ 2 (จัดหาน้ำสนับสนุนเกษตรแปลงใหญ่ต้นแบบ จังหวัดลำปาง ต.หัวเสือ อ.มาทะ จ.ลำปาง</v>
          </cell>
          <cell r="I5" t="str">
            <v>07003280A5420018</v>
          </cell>
          <cell r="J5">
            <v>607300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ค่าควบคุมงานจ้างเหมาเขื่อนหัวงานและอาคารประกอบพร้อมส่วนประกอบอื่นโครงการปรับปรุงเขื่อนแม่สรวย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5" t="str">
            <v>0700345054410026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5" t="str">
            <v>0700345054420038</v>
          </cell>
        </row>
        <row r="6">
          <cell r="E6" t="str">
            <v>ค่าจ้าง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6" t="str">
            <v>0700345054420039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ปรับปรุงถนนทางเข้าโครงการส่งน้ำบำรุงรักษากิ่วลม-กิ่วคอหมา อ.เมือง จ.ลำปาง</v>
          </cell>
          <cell r="I5" t="str">
            <v>07003630X2410003</v>
          </cell>
        </row>
        <row r="6">
          <cell r="E6" t="str">
            <v>ปรับปรุงถนนภายในโครงการส่งน้ำบำรุงรักษาแม่วัง อ.เมือง จ.ลำปาง</v>
          </cell>
          <cell r="I6" t="str">
            <v>07003630X2410021</v>
          </cell>
        </row>
        <row r="7">
          <cell r="E7" t="str">
            <v>ปรับปรุงคันคลอง 15.2RMC โครงการส่งน้ำบำรงรักษากิ่วลม-กิ่วคอหมา  อ.เมือง จ.ลำปาง</v>
          </cell>
          <cell r="I7" t="str">
            <v>07003630X2410129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ปรับปรุงถนนทางเข้าหัวงานฝายน้ำปัว โครงการชลประทานน่าน อ.ปัว จ.น่าน</v>
          </cell>
          <cell r="I5" t="str">
            <v>07003630X2410084</v>
          </cell>
        </row>
        <row r="6">
          <cell r="E6" t="str">
            <v>ปรับปรุงคันคลองRMC ฝายน้ำปัว โครงการชลประทานน่าน อ.ปัว จ.น่าน</v>
          </cell>
          <cell r="I6" t="str">
            <v>07003630X2410132</v>
          </cell>
        </row>
        <row r="7">
          <cell r="E7" t="str">
            <v>ปรับปรุงคันคลอง1R-LMC อ่างเก็บน้ำน้ำแหง โครงการชลประทานน่าน อ.นาน้อย จ.น่าน</v>
          </cell>
          <cell r="I7" t="str">
            <v>07003630X2410163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ปรับปรุงถนนบริเวณหัวงานฝ่ายส่งน้ำบำรุงรักษาที่ 5 โครงการชลประทานเชียงราย อ.แม่สาย จ.เชียงราย</v>
          </cell>
          <cell r="I5" t="str">
            <v>07003630X2410030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ปรับปรุงถนนทางเข้าหัวงานอ่างเก็บน้ำแม่ต๋ำ โครงการชลประทานพะเยา อ.เมือง จ.พะเยา</v>
          </cell>
          <cell r="I5" t="str">
            <v>07003630X2410164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ซ่อมแซมพนังป้องกันตลิ่งแม่น้ำวังด้านท้ายเขื่อนกิ่วคอหมาช่วงกม22+950 บ้านม่วงพัฒนา อ.แจ้ห่ม จ.ลำปาง</v>
          </cell>
          <cell r="I5" t="str">
            <v>07003620A0410038</v>
          </cell>
        </row>
        <row r="6">
          <cell r="E6" t="str">
            <v>ซ่อมแซมพนังป้องกันตลิ่งแม่น้ำวังด้านท้ายเขื่อนกิ่วคอหมาช่วงกม31+420บ้านแป้นโปงชัย อ.แจ้ห่ม จ.ลำปาง</v>
          </cell>
          <cell r="I6" t="str">
            <v>07003620A0410039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ค่าควบคุมงานจ้างเหมาโครงการปรับปรุงเขื่อนแม่สรวย จ.เชียงราย</v>
          </cell>
          <cell r="I5" t="str">
            <v>0700341029410043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ซ่อมแซมคลองส่งน้ำเหมืองนาโฮ่งงฝายลูกที่1 อ่างเก็บน้ำน้ำแก่น(พรด.)ต.น้ำแก่น อ.ภูเพียง จ.น่าน</v>
          </cell>
          <cell r="I5" t="str">
            <v>0700340084410181</v>
          </cell>
          <cell r="J5">
            <v>59400</v>
          </cell>
        </row>
        <row r="6">
          <cell r="E6" t="str">
            <v>ซ่อมแซมคลองส่งน้ำ 1L-LMCฝายน้ำสอด(พรด.)ต.และอ.ทุ่งช้าง จ.น่าน</v>
          </cell>
          <cell r="I6" t="str">
            <v>0700340084410182</v>
          </cell>
        </row>
        <row r="7">
          <cell r="E7" t="str">
            <v>ซ่อมแซมอ่างเก็บน้ำบ้านน้ำว้า(พรด.)ต.น้ำพาง อ.แม่จริม จ.น่าน</v>
          </cell>
          <cell r="I7" t="str">
            <v>0700340084410184</v>
          </cell>
        </row>
        <row r="8">
          <cell r="E8" t="str">
            <v>ซ่อมแซมคลองส่งน้ำ LMCอ่างเก็บน้ำน้ำและ กม.0+500ถึง กม.0+603(พรด.)ต.และ อ.ทุ่งช้าง จ.น่าน</v>
          </cell>
          <cell r="I8" t="str">
            <v>0700340084410187</v>
          </cell>
        </row>
        <row r="9">
          <cell r="E9" t="str">
            <v>ซ่อมแซมคลองส่งน้ำ2R-RMCอ่างเก็บน้ำน้ำปอน กม.1+000ถึงกม.1+125(พรด.)ต.ปอน อ.ทุ่งช้าง จ.น่าน</v>
          </cell>
          <cell r="I9" t="str">
            <v>0700340084410188</v>
          </cell>
        </row>
        <row r="10">
          <cell r="E10" t="str">
            <v>ซ่อมแซมระบบส่งน้ำฝั่งขวาฝายน้ำอวน(พรด.) ต.อวน อ.ปัว จ.น่าน</v>
          </cell>
          <cell r="I10" t="str">
            <v>0700340084410189</v>
          </cell>
          <cell r="J10">
            <v>41300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7">
          <cell r="E7" t="str">
            <v>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7" t="str">
            <v>0700341029420135</v>
          </cell>
        </row>
        <row r="8">
          <cell r="E8" t="str">
    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8" t="str">
            <v>0700341029420076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ฝายห้วยแม่แก้พร้อมระบบส่งน้ำ ต.ลำปางหลวง อ.เกาะคา จ.ลำปาง</v>
          </cell>
          <cell r="I5" t="str">
            <v>0700345053420111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โครงการฝายแม่อางบ้านน้ำล้อมอันเนื่องมาจากพระราชดำริ อ.เมือง จ.ลำปาง</v>
          </cell>
          <cell r="I5" t="str">
            <v>9090938015E8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เพิ่มประสิทธิภาพการกักเก็บน้ำอ่างเก็บน้ำเขื่อนกิ่วลม จ.ลำปาง</v>
          </cell>
          <cell r="I5" t="str">
            <v>070035630X1410B99</v>
          </cell>
        </row>
        <row r="7">
          <cell r="E7" t="str">
            <v>กำจัดสิ่งกีดขวางทางแม่น้ำวังด้านท้ายเขื่อนกิ่วคอหมา จ.ลำปาง</v>
          </cell>
          <cell r="I7" t="str">
            <v>070035630X1410C04</v>
          </cell>
        </row>
        <row r="8">
          <cell r="E8" t="str">
            <v>เพิ่มประสิทธิภาพการกักเก็บน้ำเขื่อนกิ่วลม จ.ลำปาง</v>
          </cell>
          <cell r="I8" t="str">
            <v>070035630X1410C05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6">
          <cell r="J6">
            <v>4787000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6">
          <cell r="J6">
            <v>38000</v>
          </cell>
        </row>
        <row r="7">
          <cell r="J7">
            <v>42100</v>
          </cell>
        </row>
        <row r="8">
          <cell r="J8">
            <v>38000</v>
          </cell>
        </row>
        <row r="9">
          <cell r="J9">
            <v>38000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ปรับปรุงระบบส่งน้ำงายสวยโฮ่ง ระยะ2 ต.นาโป่ง อ.เถิน จ.ลำปาง</v>
          </cell>
          <cell r="I5" t="str">
            <v>0700340084410436</v>
          </cell>
          <cell r="J5">
            <v>179000</v>
          </cell>
        </row>
        <row r="6">
          <cell r="E6" t="str">
            <v>ระบบส่งน้ำอ่างเก็บน้ำแม่ไพร(ฝายทุ่งเก้ามุ่น) ต.วอแก้ว อ.ห้างฉัตร จ.ลำปาง</v>
          </cell>
          <cell r="I6" t="str">
            <v>0700340084410437</v>
          </cell>
          <cell r="J6">
            <v>211000</v>
          </cell>
        </row>
        <row r="7">
          <cell r="E7" t="str">
            <v>ระบบส่งน้ำอ่างเก็บน้ำแม่แมะ ต.เมืองปาน อ.เมืองปาน จ.ลำปาง</v>
          </cell>
          <cell r="I7" t="str">
            <v>0700340084420017</v>
          </cell>
          <cell r="J7">
            <v>465000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งานถังพักน้ำอ่างเก็บน้ำห้วยสร้อยศรี ต.จุน อ.จุน จ.พะเยา</v>
          </cell>
          <cell r="I5" t="str">
            <v>0700340084410438</v>
          </cell>
          <cell r="J5">
            <v>37000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ระบบส่งน้ำฝั่งขวานาสาโครงการพัฒนาพื้นที่สูงแบบโครงการหลวงแม่จริม ต.แม่จริม อ.แม่จริม จ.น่าน</v>
          </cell>
          <cell r="I5" t="str">
            <v>0700340084420008</v>
          </cell>
          <cell r="J5">
            <v>405000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ซ่อมแซมระบบส่งน้ำอ่างเก็บน้ำแม่สัน(เหมืองบ้านทุ่งเกวียน)โครงการชลประทานลำปาง ต.แม่สัน อ.ห้างฉัตร จ.ลำปาง</v>
          </cell>
          <cell r="I5" t="str">
            <v>0700349052410478</v>
          </cell>
          <cell r="J5">
            <v>83000</v>
          </cell>
        </row>
        <row r="6">
          <cell r="E6" t="str">
            <v>ซ่อมแซมระบบส่งน้ำฝั่งขวาอ่างเก็บน้ำแม่ค่อมโครงการชลประทานลำปาง ต.บ้านเอื้อม อ.เมือง จ.ลำปาง</v>
          </cell>
          <cell r="I6" t="str">
            <v>0700349052410479</v>
          </cell>
          <cell r="J6">
            <v>56700</v>
          </cell>
        </row>
        <row r="7">
          <cell r="E7" t="str">
            <v>ซ่อมแซมอาคารบังคับน้ำอ่างเก็บน้ำห้วยแม่หยวกโครงการชลประทานลำปาง ต.ปงดอน อ.แจ้ห่ม จ.ลำปาง</v>
          </cell>
          <cell r="I7" t="str">
            <v>0700349052410481</v>
          </cell>
          <cell r="J7">
            <v>3800</v>
          </cell>
        </row>
        <row r="8">
          <cell r="E8" t="str">
            <v>ซ่อมแซมอาคารบังคับน้ำอ่างเก็บน้ำห้วยส้มโครงการชลประทานลำปาง ต.บ้านแหง อ.งาว จ.ลำปาง</v>
          </cell>
          <cell r="I8" t="str">
            <v>0700349052410482</v>
          </cell>
          <cell r="J8">
            <v>1500</v>
          </cell>
        </row>
        <row r="9">
          <cell r="E9" t="str">
            <v>ซ่อมแซมคลองส่งน้ำอ่างเก็บน้ำแม่สัน(เหมืองฝายต้นต้อง)โครงการชลประทานลำปาง ต.แม่สัน อ.ห้างฉัตร จ.ลำปาง</v>
          </cell>
          <cell r="I9" t="str">
            <v>0700349052410483</v>
          </cell>
          <cell r="J9">
            <v>62000</v>
          </cell>
        </row>
        <row r="10">
          <cell r="E10" t="str">
            <v>ซ่อมแซมคลองส่งน้ำซอยทุ่งพร้าวอ่างเก็บน้ำห้วยเป้งโครงการชลประทานลำปาง ต.ทุ่งกว๋าว อ.เมืองปาน จ.ลำปาง</v>
          </cell>
          <cell r="I10" t="str">
            <v>0700349052410484</v>
          </cell>
          <cell r="J10">
            <v>13000</v>
          </cell>
        </row>
        <row r="11">
          <cell r="E11" t="str">
            <v>ซ่อมแซมระบบท่อส่งน้ำอ่างเก็บน้ำแม่จอกโครงการชลประทานลำปาง ต.เสริมซ้าย อ.เสริมงาม จ.ลำปาง</v>
          </cell>
          <cell r="I11" t="str">
            <v>0700349052410485</v>
          </cell>
          <cell r="J11">
            <v>14100</v>
          </cell>
        </row>
        <row r="12">
          <cell r="E12" t="str">
            <v>ซ่อมแซมระบบส่งน้ำแม่ตา LMCอ่างเก็บน้ำแม่ตา โครงการชลประทานลำปาง ต.ปงดอน อ.แจ้ห่ม จ.ลำปาง</v>
          </cell>
          <cell r="I12" t="str">
            <v>0700349052410486</v>
          </cell>
          <cell r="J12">
            <v>15000</v>
          </cell>
        </row>
        <row r="13">
          <cell r="E13" t="str">
            <v>ซ่อมแซมคลองส่งน้ำทุ่งนาใหม่อ่างเก็บน้ำห้วยเป้งโครงการชลประทานลำปาง ต.ทุ่งกว๋าว อ.เมืองปาน จ.ลำปาง</v>
          </cell>
          <cell r="I13" t="str">
            <v>0700349052410487</v>
          </cell>
          <cell r="J13">
            <v>35000</v>
          </cell>
        </row>
        <row r="14">
          <cell r="E14" t="str">
            <v>ซ่อมแซมระบบส่งน้ำฝายห้วยหลวง(อ่างเก็บน้ำห้วยหลวง)โครงการชลประทานลำปาง ต.สบปราบ อ.สบปราบ จ.ลำปาง</v>
          </cell>
          <cell r="I14" t="str">
            <v>0700349052410488</v>
          </cell>
          <cell r="J14">
            <v>34200</v>
          </cell>
        </row>
        <row r="15">
          <cell r="E15" t="str">
            <v>ซ่อมแซมระบบส่งน้ำทุ่งแอดระยะที่ 1โครงการชลประทานลำปาง ต.บ้านขอ อ.เมืองปาน จ.ลำปาง</v>
          </cell>
          <cell r="I15" t="str">
            <v>0700349052410489</v>
          </cell>
          <cell r="J15">
            <v>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97"/>
  <sheetViews>
    <sheetView tabSelected="1" topLeftCell="C1" zoomScale="115" zoomScaleNormal="115" workbookViewId="0">
      <pane ySplit="4" topLeftCell="A110" activePane="bottomLeft" state="frozen"/>
      <selection pane="bottomLeft" activeCell="E112" sqref="E112"/>
    </sheetView>
  </sheetViews>
  <sheetFormatPr defaultColWidth="9" defaultRowHeight="23.25" x14ac:dyDescent="0.5"/>
  <cols>
    <col min="1" max="1" width="4.625" style="1" customWidth="1"/>
    <col min="2" max="2" width="87.75" style="1" customWidth="1"/>
    <col min="3" max="3" width="15.5" style="14" customWidth="1"/>
    <col min="4" max="4" width="7.75" style="14" customWidth="1"/>
    <col min="5" max="5" width="13.75" style="1" customWidth="1"/>
    <col min="6" max="6" width="12.125" style="1" customWidth="1"/>
    <col min="7" max="7" width="12.875" style="1" customWidth="1"/>
    <col min="8" max="8" width="13.375" style="1" customWidth="1"/>
    <col min="9" max="9" width="6.875" style="1" customWidth="1"/>
    <col min="10" max="10" width="12.125" style="1" customWidth="1"/>
    <col min="11" max="11" width="13" style="1" customWidth="1"/>
    <col min="12" max="12" width="13.375" style="1" customWidth="1"/>
    <col min="13" max="13" width="7.125" style="1" customWidth="1"/>
    <col min="14" max="15" width="13.25" style="1" customWidth="1"/>
    <col min="16" max="16" width="12.875" style="1" customWidth="1"/>
    <col min="17" max="17" width="7.625" style="1" customWidth="1"/>
    <col min="18" max="18" width="12" style="1" customWidth="1"/>
    <col min="19" max="19" width="13.5" style="1" customWidth="1"/>
    <col min="20" max="20" width="17.25" style="1" customWidth="1"/>
    <col min="21" max="21" width="9" style="1"/>
    <col min="22" max="22" width="20.25" style="1" customWidth="1"/>
    <col min="23" max="16384" width="9" style="1"/>
  </cols>
  <sheetData>
    <row r="1" spans="1:22" ht="33" customHeight="1" x14ac:dyDescent="0.6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2" x14ac:dyDescent="0.5">
      <c r="A2" s="68" t="s">
        <v>0</v>
      </c>
      <c r="B2" s="69"/>
      <c r="C2" s="25"/>
      <c r="D2" s="72" t="s">
        <v>1</v>
      </c>
      <c r="E2" s="74" t="s">
        <v>2</v>
      </c>
      <c r="F2" s="75"/>
      <c r="G2" s="76"/>
      <c r="H2" s="74" t="s">
        <v>7</v>
      </c>
      <c r="I2" s="75"/>
      <c r="J2" s="75"/>
      <c r="K2" s="76"/>
      <c r="L2" s="74" t="s">
        <v>8</v>
      </c>
      <c r="M2" s="75"/>
      <c r="N2" s="75"/>
      <c r="O2" s="76"/>
      <c r="P2" s="74" t="s">
        <v>9</v>
      </c>
      <c r="Q2" s="75"/>
      <c r="R2" s="75"/>
      <c r="S2" s="76"/>
    </row>
    <row r="3" spans="1:22" ht="26.25" customHeight="1" x14ac:dyDescent="0.5">
      <c r="A3" s="70"/>
      <c r="B3" s="71"/>
      <c r="C3" s="26"/>
      <c r="D3" s="73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  <c r="T3" s="16">
        <f>P4+H4</f>
        <v>65197198</v>
      </c>
    </row>
    <row r="4" spans="1:22" ht="30.75" customHeight="1" x14ac:dyDescent="0.5">
      <c r="A4" s="4"/>
      <c r="B4" s="4" t="s">
        <v>17</v>
      </c>
      <c r="C4" s="4"/>
      <c r="D4" s="4"/>
      <c r="E4" s="5">
        <f t="shared" ref="E4" si="0">F4+G4</f>
        <v>65197198</v>
      </c>
      <c r="F4" s="5">
        <f>F5+F41+F114+F136+F145</f>
        <v>29488400</v>
      </c>
      <c r="G4" s="5">
        <f>G5+G41+G114+G136+G145</f>
        <v>35708798</v>
      </c>
      <c r="H4" s="5">
        <f t="shared" ref="H4" si="1">J4+K4</f>
        <v>465935.3</v>
      </c>
      <c r="I4" s="5">
        <f>H4*100/E4</f>
        <v>0.71465540589643128</v>
      </c>
      <c r="J4" s="5">
        <f>J5+J41+J114+J136+J145</f>
        <v>0</v>
      </c>
      <c r="K4" s="5">
        <f>K5+K41+K114+K136+K136</f>
        <v>465935.3</v>
      </c>
      <c r="L4" s="5">
        <f>N4+O4</f>
        <v>0</v>
      </c>
      <c r="M4" s="5">
        <f>L4*100/E4</f>
        <v>0</v>
      </c>
      <c r="N4" s="5">
        <f>N5+N41+N114+N136+N145</f>
        <v>0</v>
      </c>
      <c r="O4" s="5">
        <f>O5+O41+O114+O136+O145</f>
        <v>0</v>
      </c>
      <c r="P4" s="5">
        <f>E4-H4-L4</f>
        <v>64731262.700000003</v>
      </c>
      <c r="Q4" s="5">
        <f>P4*100/E4</f>
        <v>99.285344594103563</v>
      </c>
      <c r="R4" s="5">
        <f t="shared" ref="R4" si="2">F4-J4-N4</f>
        <v>29488400</v>
      </c>
      <c r="S4" s="5">
        <f>G4-K4-O4</f>
        <v>35242862.700000003</v>
      </c>
      <c r="T4" s="16">
        <f>I4+M4+Q4</f>
        <v>100</v>
      </c>
    </row>
    <row r="5" spans="1:22" ht="30" customHeight="1" x14ac:dyDescent="0.5">
      <c r="A5" s="10"/>
      <c r="B5" s="20" t="s">
        <v>24</v>
      </c>
      <c r="C5" s="20"/>
      <c r="D5" s="23"/>
      <c r="E5" s="21">
        <f>G5+F5</f>
        <v>2041400</v>
      </c>
      <c r="F5" s="22">
        <f>F6+F17+F26+F33+F37+F39</f>
        <v>0</v>
      </c>
      <c r="G5" s="21">
        <f>G6+G17+G26+G33+G37+G39</f>
        <v>2041400</v>
      </c>
      <c r="H5" s="22">
        <f>K5+J5</f>
        <v>0</v>
      </c>
      <c r="I5" s="22">
        <f>H5*100/E5</f>
        <v>0</v>
      </c>
      <c r="J5" s="22">
        <f>J6+J17+J26+J33+J37+J39</f>
        <v>0</v>
      </c>
      <c r="K5" s="22">
        <f>K6+K17+K26+K33+K37+K39</f>
        <v>0</v>
      </c>
      <c r="L5" s="22">
        <f>O5+N5</f>
        <v>0</v>
      </c>
      <c r="M5" s="20"/>
      <c r="N5" s="22">
        <f>N6+N17+N26+N33+N37+N39</f>
        <v>0</v>
      </c>
      <c r="O5" s="22">
        <f>O6+O17+O26+O33+O37+O39</f>
        <v>0</v>
      </c>
      <c r="P5" s="22">
        <f>S5+R5</f>
        <v>2041400</v>
      </c>
      <c r="Q5" s="21">
        <f>P5*100/E5</f>
        <v>100</v>
      </c>
      <c r="R5" s="22">
        <f>F5-J5-N5</f>
        <v>0</v>
      </c>
      <c r="S5" s="22">
        <f>G5-K5-O5</f>
        <v>2041400</v>
      </c>
      <c r="T5" s="16">
        <f>Q5+I5</f>
        <v>100</v>
      </c>
      <c r="V5" s="16"/>
    </row>
    <row r="6" spans="1:22" ht="28.5" customHeight="1" x14ac:dyDescent="0.5">
      <c r="A6" s="9"/>
      <c r="B6" s="18" t="s">
        <v>25</v>
      </c>
      <c r="C6" s="24"/>
      <c r="D6" s="24"/>
      <c r="E6" s="19">
        <f>F6+G6</f>
        <v>273400</v>
      </c>
      <c r="F6" s="19">
        <f>SUM(F7:F15)</f>
        <v>0</v>
      </c>
      <c r="G6" s="19">
        <f>SUM(G7:G16)</f>
        <v>273400</v>
      </c>
      <c r="H6" s="19">
        <f>J6+K6</f>
        <v>0</v>
      </c>
      <c r="I6" s="19">
        <f>H6*100/E6</f>
        <v>0</v>
      </c>
      <c r="J6" s="19">
        <f>SUM(J7:J15)</f>
        <v>0</v>
      </c>
      <c r="K6" s="19">
        <f>SUM(K7:K15)</f>
        <v>0</v>
      </c>
      <c r="L6" s="19">
        <f>N6+O6</f>
        <v>0</v>
      </c>
      <c r="M6" s="19">
        <f>L6*100/E6</f>
        <v>0</v>
      </c>
      <c r="N6" s="19">
        <f>SUM(N7:N15)</f>
        <v>0</v>
      </c>
      <c r="O6" s="19">
        <f>SUM(O7:O15)</f>
        <v>0</v>
      </c>
      <c r="P6" s="19">
        <f t="shared" ref="P6" si="3">R6+S6</f>
        <v>273400</v>
      </c>
      <c r="Q6" s="19">
        <f>P6*100/E6</f>
        <v>100</v>
      </c>
      <c r="R6" s="19">
        <f t="shared" ref="R6" si="4">F6-J6-N6</f>
        <v>0</v>
      </c>
      <c r="S6" s="19">
        <f t="shared" ref="S6" si="5">G6-K6-O6</f>
        <v>273400</v>
      </c>
      <c r="T6" s="16"/>
      <c r="V6" s="16"/>
    </row>
    <row r="7" spans="1:22" s="48" customFormat="1" ht="33" customHeight="1" x14ac:dyDescent="0.5">
      <c r="A7" s="46">
        <v>1</v>
      </c>
      <c r="B7" s="40" t="str">
        <f>[1]รายการสรุป!$E$5</f>
        <v>ซ่อมแซมทางระบายน้ำอ่างเก็บน้ำแพะทุ่งกว๋าว(อันเนื่องมาจากพระราชดำริ)ต.ทุ่งกว๋าว อ.เมืองปาน จ.ลำปาง</v>
      </c>
      <c r="C7" s="40" t="str">
        <f>[1]รายการสรุป!$I$5</f>
        <v>0700340084410148</v>
      </c>
      <c r="D7" s="29" t="s">
        <v>26</v>
      </c>
      <c r="E7" s="54">
        <f t="shared" ref="E7" si="6">F7+G7</f>
        <v>5000</v>
      </c>
      <c r="F7" s="54">
        <v>0</v>
      </c>
      <c r="G7" s="55">
        <f>[1]รายการสรุป!$J$5</f>
        <v>5000</v>
      </c>
      <c r="H7" s="54">
        <f t="shared" ref="H7" si="7">J7+K7</f>
        <v>0</v>
      </c>
      <c r="I7" s="54">
        <f t="shared" ref="I7" si="8">H7*100/E7</f>
        <v>0</v>
      </c>
      <c r="J7" s="54">
        <v>0</v>
      </c>
      <c r="K7" s="54"/>
      <c r="L7" s="54">
        <f t="shared" ref="L7" si="9">N7+O7</f>
        <v>0</v>
      </c>
      <c r="M7" s="54">
        <f t="shared" ref="M7" si="10">L7*100/E7</f>
        <v>0</v>
      </c>
      <c r="N7" s="54">
        <v>0</v>
      </c>
      <c r="O7" s="54">
        <v>0</v>
      </c>
      <c r="P7" s="54">
        <f t="shared" ref="P7" si="11">R7+S7</f>
        <v>5000</v>
      </c>
      <c r="Q7" s="54">
        <f t="shared" ref="Q7" si="12">P7*100/E7</f>
        <v>100</v>
      </c>
      <c r="R7" s="54">
        <f t="shared" ref="R7" si="13">F7-J7-N7</f>
        <v>0</v>
      </c>
      <c r="S7" s="54">
        <f t="shared" ref="S7" si="14">G7-K7-O7</f>
        <v>5000</v>
      </c>
      <c r="T7" s="47"/>
    </row>
    <row r="8" spans="1:22" ht="30" customHeight="1" x14ac:dyDescent="0.5">
      <c r="A8" s="9">
        <v>2</v>
      </c>
      <c r="B8" s="11" t="str">
        <f>[1]รายการสรุป!$E$6</f>
        <v>ซ่อมแซมคลองส่งน้ำอ่างเก็บน้ำแม่ไพร(เหมืองทุ่งโฮ้ง)ต.วอแก้ว อ.ห้างฉัตร จ.ลำปาง</v>
      </c>
      <c r="C8" s="11" t="str">
        <f>[1]รายการสรุป!$I$6</f>
        <v>0700340084410149</v>
      </c>
      <c r="D8" s="29" t="s">
        <v>26</v>
      </c>
      <c r="E8" s="54">
        <f t="shared" ref="E8:E15" si="15">F8+G8</f>
        <v>38000</v>
      </c>
      <c r="F8" s="54">
        <v>0</v>
      </c>
      <c r="G8" s="55">
        <f>[1]รายการสรุป!$J$6</f>
        <v>38000</v>
      </c>
      <c r="H8" s="54">
        <f t="shared" ref="H8:H15" si="16">J8+K8</f>
        <v>0</v>
      </c>
      <c r="I8" s="54">
        <f t="shared" ref="I8:I15" si="17">H8*100/E8</f>
        <v>0</v>
      </c>
      <c r="J8" s="54">
        <v>0</v>
      </c>
      <c r="K8" s="54"/>
      <c r="L8" s="54">
        <f t="shared" ref="L8:L15" si="18">N8+O8</f>
        <v>0</v>
      </c>
      <c r="M8" s="54">
        <f t="shared" ref="M8:M15" si="19">L8*100/E8</f>
        <v>0</v>
      </c>
      <c r="N8" s="54">
        <v>0</v>
      </c>
      <c r="O8" s="54">
        <v>0</v>
      </c>
      <c r="P8" s="54">
        <f t="shared" ref="P8:P18" si="20">R8+S8</f>
        <v>38000</v>
      </c>
      <c r="Q8" s="54">
        <f t="shared" ref="Q8:Q15" si="21">P8*100/E8</f>
        <v>100</v>
      </c>
      <c r="R8" s="54">
        <f t="shared" ref="R8:R18" si="22">F8-J8-N8</f>
        <v>0</v>
      </c>
      <c r="S8" s="54">
        <f t="shared" ref="S8:S18" si="23">G8-K8-O8</f>
        <v>38000</v>
      </c>
    </row>
    <row r="9" spans="1:22" ht="30.75" customHeight="1" x14ac:dyDescent="0.5">
      <c r="A9" s="9">
        <v>3</v>
      </c>
      <c r="B9" s="11" t="str">
        <f>[1]รายการสรุป!$E$7</f>
        <v>ซ่อมแซมระบบส่งน้ำฝั่งซ้ายอ่างเก็บน้ำแม่ตา ต.ปงดอน อ.แจ้ห่ม จ.ลำปาง</v>
      </c>
      <c r="C9" s="11" t="str">
        <f>[1]รายการสรุป!$I$7</f>
        <v>0700340084410150</v>
      </c>
      <c r="D9" s="29" t="s">
        <v>26</v>
      </c>
      <c r="E9" s="54">
        <f t="shared" si="15"/>
        <v>28000</v>
      </c>
      <c r="F9" s="54">
        <v>0</v>
      </c>
      <c r="G9" s="55">
        <f>[1]รายการสรุป!$J$7</f>
        <v>28000</v>
      </c>
      <c r="H9" s="54">
        <f t="shared" si="16"/>
        <v>0</v>
      </c>
      <c r="I9" s="54">
        <f t="shared" si="17"/>
        <v>0</v>
      </c>
      <c r="J9" s="54">
        <v>0</v>
      </c>
      <c r="K9" s="54"/>
      <c r="L9" s="54">
        <f t="shared" si="18"/>
        <v>0</v>
      </c>
      <c r="M9" s="54">
        <f t="shared" si="19"/>
        <v>0</v>
      </c>
      <c r="N9" s="54">
        <v>0</v>
      </c>
      <c r="O9" s="54">
        <v>0</v>
      </c>
      <c r="P9" s="54">
        <f t="shared" si="20"/>
        <v>28000</v>
      </c>
      <c r="Q9" s="54">
        <f t="shared" si="21"/>
        <v>100</v>
      </c>
      <c r="R9" s="54">
        <f t="shared" si="22"/>
        <v>0</v>
      </c>
      <c r="S9" s="54">
        <f t="shared" si="23"/>
        <v>28000</v>
      </c>
      <c r="T9" s="16">
        <f>I9+M9+Q9</f>
        <v>100</v>
      </c>
    </row>
    <row r="10" spans="1:22" ht="30" customHeight="1" x14ac:dyDescent="0.5">
      <c r="A10" s="9">
        <v>4</v>
      </c>
      <c r="B10" s="11" t="str">
        <f>[1]รายการสรุป!$E$8</f>
        <v>ซ่อมแซมระบบส่งน้ำฝั่งซ้ายอ่างเก็บน้ำแม่ยาว ต.แม่สัน อ.ห้างฉัตร จ.ลำปาง</v>
      </c>
      <c r="C10" s="11" t="str">
        <f>[1]รายการสรุป!$I$8</f>
        <v>0700340084410152</v>
      </c>
      <c r="D10" s="29" t="s">
        <v>26</v>
      </c>
      <c r="E10" s="54">
        <f t="shared" si="15"/>
        <v>42000</v>
      </c>
      <c r="F10" s="54">
        <v>0</v>
      </c>
      <c r="G10" s="55">
        <f>[1]รายการสรุป!$J$8</f>
        <v>42000</v>
      </c>
      <c r="H10" s="54">
        <f t="shared" si="16"/>
        <v>0</v>
      </c>
      <c r="I10" s="54">
        <f t="shared" si="17"/>
        <v>0</v>
      </c>
      <c r="J10" s="54">
        <v>0</v>
      </c>
      <c r="K10" s="54"/>
      <c r="L10" s="54">
        <f t="shared" si="18"/>
        <v>0</v>
      </c>
      <c r="M10" s="54">
        <f t="shared" si="19"/>
        <v>0</v>
      </c>
      <c r="N10" s="54">
        <v>0</v>
      </c>
      <c r="O10" s="54">
        <v>0</v>
      </c>
      <c r="P10" s="54">
        <f t="shared" si="20"/>
        <v>42000</v>
      </c>
      <c r="Q10" s="54">
        <f t="shared" si="21"/>
        <v>100</v>
      </c>
      <c r="R10" s="54">
        <f t="shared" si="22"/>
        <v>0</v>
      </c>
      <c r="S10" s="54">
        <f t="shared" si="23"/>
        <v>42000</v>
      </c>
    </row>
    <row r="11" spans="1:22" ht="30" customHeight="1" x14ac:dyDescent="0.5">
      <c r="A11" s="9">
        <v>5</v>
      </c>
      <c r="B11" s="11" t="str">
        <f>[1]รายการสรุป!$E$9</f>
        <v>ซ่อมแซมระบบส่งน้ำฝายน้ำงาว ต.หลวงเหนือ อ.งาว จ.ลำปาง</v>
      </c>
      <c r="C11" s="11" t="str">
        <f>[1]รายการสรุป!$I$9</f>
        <v>0700340084410153</v>
      </c>
      <c r="D11" s="29" t="s">
        <v>26</v>
      </c>
      <c r="E11" s="54">
        <f t="shared" si="15"/>
        <v>39900</v>
      </c>
      <c r="F11" s="54">
        <v>0</v>
      </c>
      <c r="G11" s="55">
        <f>[1]รายการสรุป!$J$9</f>
        <v>39900</v>
      </c>
      <c r="H11" s="54">
        <f t="shared" si="16"/>
        <v>0</v>
      </c>
      <c r="I11" s="54">
        <f t="shared" si="17"/>
        <v>0</v>
      </c>
      <c r="J11" s="54">
        <v>0</v>
      </c>
      <c r="K11" s="54"/>
      <c r="L11" s="54">
        <f t="shared" si="18"/>
        <v>0</v>
      </c>
      <c r="M11" s="54">
        <f t="shared" si="19"/>
        <v>0</v>
      </c>
      <c r="N11" s="54">
        <v>0</v>
      </c>
      <c r="O11" s="54">
        <v>0</v>
      </c>
      <c r="P11" s="54">
        <f t="shared" si="20"/>
        <v>39900</v>
      </c>
      <c r="Q11" s="54">
        <f t="shared" si="21"/>
        <v>100</v>
      </c>
      <c r="R11" s="54">
        <f t="shared" si="22"/>
        <v>0</v>
      </c>
      <c r="S11" s="54">
        <f t="shared" si="23"/>
        <v>39900</v>
      </c>
    </row>
    <row r="12" spans="1:22" ht="30" customHeight="1" x14ac:dyDescent="0.5">
      <c r="A12" s="9">
        <v>6</v>
      </c>
      <c r="B12" s="11" t="str">
        <f>[1]รายการสรุป!$E$10</f>
        <v>ซ่อมแซมอาคารบังคับน้ำอ่างเก็บน้ำแม่ปอน ต.แม่สัน อ.ห้างฉัตร จ.ลำปาง</v>
      </c>
      <c r="C12" s="11" t="str">
        <f>[1]รายการสรุป!$I$10</f>
        <v>0700340084410154</v>
      </c>
      <c r="D12" s="29" t="s">
        <v>26</v>
      </c>
      <c r="E12" s="54">
        <f t="shared" si="15"/>
        <v>4400</v>
      </c>
      <c r="F12" s="54">
        <v>0</v>
      </c>
      <c r="G12" s="55">
        <f>[1]รายการสรุป!$J$10</f>
        <v>4400</v>
      </c>
      <c r="H12" s="54">
        <f t="shared" si="16"/>
        <v>0</v>
      </c>
      <c r="I12" s="54">
        <f t="shared" si="17"/>
        <v>0</v>
      </c>
      <c r="J12" s="54">
        <v>0</v>
      </c>
      <c r="K12" s="54"/>
      <c r="L12" s="54">
        <f t="shared" si="18"/>
        <v>0</v>
      </c>
      <c r="M12" s="54">
        <f t="shared" si="19"/>
        <v>0</v>
      </c>
      <c r="N12" s="54">
        <v>0</v>
      </c>
      <c r="O12" s="54">
        <v>0</v>
      </c>
      <c r="P12" s="54">
        <f t="shared" si="20"/>
        <v>4400</v>
      </c>
      <c r="Q12" s="54">
        <f t="shared" si="21"/>
        <v>100</v>
      </c>
      <c r="R12" s="54">
        <f t="shared" si="22"/>
        <v>0</v>
      </c>
      <c r="S12" s="54">
        <f t="shared" si="23"/>
        <v>4400</v>
      </c>
    </row>
    <row r="13" spans="1:22" ht="30" customHeight="1" x14ac:dyDescent="0.5">
      <c r="A13" s="9">
        <v>7</v>
      </c>
      <c r="B13" s="11" t="str">
        <f>[1]รายการสรุป!$E$11</f>
        <v>ซ่อมแซมระบบส่งน้ำอ่างเก็บน้ำแม่เกี๋ยง(เหมืองขวาบน) ต.เมืองยาว อ.ห้างฉัตร จ.ลำปาง</v>
      </c>
      <c r="C13" s="11" t="str">
        <f>[1]รายการสรุป!$I$11</f>
        <v>0700340084410155</v>
      </c>
      <c r="D13" s="29" t="s">
        <v>26</v>
      </c>
      <c r="E13" s="54">
        <f t="shared" si="15"/>
        <v>47000</v>
      </c>
      <c r="F13" s="54">
        <v>0</v>
      </c>
      <c r="G13" s="55">
        <f>[1]รายการสรุป!$J$11</f>
        <v>47000</v>
      </c>
      <c r="H13" s="54">
        <f t="shared" si="16"/>
        <v>0</v>
      </c>
      <c r="I13" s="54">
        <f t="shared" si="17"/>
        <v>0</v>
      </c>
      <c r="J13" s="54">
        <v>0</v>
      </c>
      <c r="K13" s="54"/>
      <c r="L13" s="54">
        <f t="shared" si="18"/>
        <v>0</v>
      </c>
      <c r="M13" s="54">
        <f t="shared" si="19"/>
        <v>0</v>
      </c>
      <c r="N13" s="54">
        <v>0</v>
      </c>
      <c r="O13" s="54">
        <v>0</v>
      </c>
      <c r="P13" s="54">
        <f t="shared" si="20"/>
        <v>47000</v>
      </c>
      <c r="Q13" s="54">
        <f t="shared" si="21"/>
        <v>100</v>
      </c>
      <c r="R13" s="54">
        <f t="shared" si="22"/>
        <v>0</v>
      </c>
      <c r="S13" s="54">
        <f t="shared" si="23"/>
        <v>47000</v>
      </c>
    </row>
    <row r="14" spans="1:22" ht="30" customHeight="1" x14ac:dyDescent="0.5">
      <c r="A14" s="9">
        <v>8</v>
      </c>
      <c r="B14" s="11" t="str">
        <f>[1]รายการสรุป!$E$12</f>
        <v>ซ่อมแซมคลองส่งน้ำอ่างเก็บน้ำแม่เกี๋ยง(เหมืองขวาล่าง) ต.เมืองยาว อ.ห้างฉัตร จ.ลำปาง</v>
      </c>
      <c r="C14" s="11" t="str">
        <f>[1]รายการสรุป!$I$12</f>
        <v>0700340084410156</v>
      </c>
      <c r="D14" s="29" t="s">
        <v>26</v>
      </c>
      <c r="E14" s="54">
        <f t="shared" si="15"/>
        <v>38000</v>
      </c>
      <c r="F14" s="54">
        <v>0</v>
      </c>
      <c r="G14" s="55">
        <f>[2]รายการสรุป!$J$12</f>
        <v>38000</v>
      </c>
      <c r="H14" s="54">
        <f t="shared" si="16"/>
        <v>0</v>
      </c>
      <c r="I14" s="54">
        <f t="shared" si="17"/>
        <v>0</v>
      </c>
      <c r="J14" s="54">
        <v>0</v>
      </c>
      <c r="K14" s="54"/>
      <c r="L14" s="54">
        <f t="shared" si="18"/>
        <v>0</v>
      </c>
      <c r="M14" s="54">
        <f t="shared" si="19"/>
        <v>0</v>
      </c>
      <c r="N14" s="54">
        <v>0</v>
      </c>
      <c r="O14" s="54">
        <v>0</v>
      </c>
      <c r="P14" s="54">
        <f t="shared" si="20"/>
        <v>38000</v>
      </c>
      <c r="Q14" s="54">
        <f t="shared" si="21"/>
        <v>100</v>
      </c>
      <c r="R14" s="54">
        <f t="shared" si="22"/>
        <v>0</v>
      </c>
      <c r="S14" s="54">
        <f t="shared" si="23"/>
        <v>38000</v>
      </c>
    </row>
    <row r="15" spans="1:22" ht="32.25" customHeight="1" x14ac:dyDescent="0.5">
      <c r="A15" s="9">
        <v>9</v>
      </c>
      <c r="B15" s="11" t="str">
        <f>[1]รายการสรุป!$E$13</f>
        <v>ซ่อมแซมอาคารบังคับน้ำอ่างเก็บน้ำห้วยแม่แมะ ต.ปงดอน อ.แจ้ห่ม จ.ลำปาง</v>
      </c>
      <c r="C15" s="11" t="str">
        <f>[1]รายการสรุป!$I$13</f>
        <v>0700340084410157</v>
      </c>
      <c r="D15" s="29" t="s">
        <v>26</v>
      </c>
      <c r="E15" s="54">
        <f t="shared" si="15"/>
        <v>2100</v>
      </c>
      <c r="F15" s="54">
        <v>0</v>
      </c>
      <c r="G15" s="55">
        <f>[1]รายการสรุป!$J$13</f>
        <v>2100</v>
      </c>
      <c r="H15" s="54">
        <f t="shared" si="16"/>
        <v>0</v>
      </c>
      <c r="I15" s="54">
        <f t="shared" si="17"/>
        <v>0</v>
      </c>
      <c r="J15" s="54">
        <v>0</v>
      </c>
      <c r="K15" s="54"/>
      <c r="L15" s="54">
        <f t="shared" si="18"/>
        <v>0</v>
      </c>
      <c r="M15" s="54">
        <f t="shared" si="19"/>
        <v>0</v>
      </c>
      <c r="N15" s="54">
        <v>0</v>
      </c>
      <c r="O15" s="54">
        <v>0</v>
      </c>
      <c r="P15" s="54">
        <f t="shared" si="20"/>
        <v>2100</v>
      </c>
      <c r="Q15" s="54">
        <f t="shared" si="21"/>
        <v>100</v>
      </c>
      <c r="R15" s="54">
        <f t="shared" si="22"/>
        <v>0</v>
      </c>
      <c r="S15" s="54">
        <f t="shared" si="23"/>
        <v>2100</v>
      </c>
    </row>
    <row r="16" spans="1:22" ht="32.25" customHeight="1" x14ac:dyDescent="0.5">
      <c r="A16" s="9">
        <v>10</v>
      </c>
      <c r="B16" s="11" t="str">
        <f>[2]รายการสรุป!$E$14</f>
        <v>ซ่อมแซมทางระบายน้ำและหินคลุกสันทำนบอ่างเก็บน้ำแม่แมะ ต.ปงดอน อ.แจ้ห่ม จ.ลำปาง</v>
      </c>
      <c r="C16" s="11" t="str">
        <f>[2]รายการสรุป!$I$14</f>
        <v>0700340084410151</v>
      </c>
      <c r="D16" s="29" t="s">
        <v>57</v>
      </c>
      <c r="E16" s="54">
        <f t="shared" ref="E16" si="24">F16+G16</f>
        <v>29000</v>
      </c>
      <c r="F16" s="54">
        <v>0</v>
      </c>
      <c r="G16" s="55">
        <f>[2]รายการสรุป!$J$14</f>
        <v>29000</v>
      </c>
      <c r="H16" s="54">
        <f t="shared" ref="H16" si="25">J16+K16</f>
        <v>0</v>
      </c>
      <c r="I16" s="54">
        <f t="shared" ref="I16" si="26">H16*100/E16</f>
        <v>0</v>
      </c>
      <c r="J16" s="54">
        <v>0</v>
      </c>
      <c r="K16" s="54"/>
      <c r="L16" s="54">
        <f t="shared" ref="L16" si="27">N16+O16</f>
        <v>0</v>
      </c>
      <c r="M16" s="54">
        <f t="shared" ref="M16" si="28">L16*100/E16</f>
        <v>0</v>
      </c>
      <c r="N16" s="54">
        <v>0</v>
      </c>
      <c r="O16" s="54">
        <v>0</v>
      </c>
      <c r="P16" s="54">
        <f t="shared" ref="P16" si="29">R16+S16</f>
        <v>29000</v>
      </c>
      <c r="Q16" s="54">
        <f t="shared" ref="Q16" si="30">P16*100/E16</f>
        <v>100</v>
      </c>
      <c r="R16" s="54">
        <f t="shared" ref="R16" si="31">F16-J16-N16</f>
        <v>0</v>
      </c>
      <c r="S16" s="54">
        <f t="shared" ref="S16" si="32">G16-K16-O16</f>
        <v>29000</v>
      </c>
    </row>
    <row r="17" spans="1:20" ht="30" customHeight="1" x14ac:dyDescent="0.5">
      <c r="A17" s="9"/>
      <c r="B17" s="18" t="s">
        <v>27</v>
      </c>
      <c r="C17" s="18"/>
      <c r="D17" s="24"/>
      <c r="E17" s="19">
        <f>F17+G17</f>
        <v>214200</v>
      </c>
      <c r="F17" s="19">
        <f>SUM(F18:F34)</f>
        <v>0</v>
      </c>
      <c r="G17" s="19">
        <f>SUM(G18:G25)</f>
        <v>214200</v>
      </c>
      <c r="H17" s="19">
        <f>J17+K17</f>
        <v>0</v>
      </c>
      <c r="I17" s="19">
        <f>H17*100/E17</f>
        <v>0</v>
      </c>
      <c r="J17" s="19">
        <f>SUM(J18:J34)</f>
        <v>0</v>
      </c>
      <c r="K17" s="19">
        <f>SUM(K18:K25)</f>
        <v>0</v>
      </c>
      <c r="L17" s="19">
        <f>N17+O17</f>
        <v>0</v>
      </c>
      <c r="M17" s="19">
        <f>L17*100/E17</f>
        <v>0</v>
      </c>
      <c r="N17" s="19">
        <f>SUM(N18:N34)</f>
        <v>0</v>
      </c>
      <c r="O17" s="19">
        <f>SUM(O18:O34)</f>
        <v>0</v>
      </c>
      <c r="P17" s="19">
        <f t="shared" si="20"/>
        <v>214200</v>
      </c>
      <c r="Q17" s="19">
        <f>P17*100/E17</f>
        <v>100</v>
      </c>
      <c r="R17" s="19">
        <f t="shared" si="22"/>
        <v>0</v>
      </c>
      <c r="S17" s="19">
        <f t="shared" si="23"/>
        <v>214200</v>
      </c>
    </row>
    <row r="18" spans="1:20" ht="29.25" customHeight="1" x14ac:dyDescent="0.5">
      <c r="A18" s="9">
        <v>11</v>
      </c>
      <c r="B18" s="11" t="str">
        <f>[3]รายการสรุป!$E$5</f>
        <v>ซ่อมแซมท่อส่งน้ำบ้านขุนน้ำต้มโครางการหลวงปางค่า ต.ผาช้างน้อย อ.ปง จ.พะเยา</v>
      </c>
      <c r="C18" s="40" t="str">
        <f>[3]รายการสรุป!$I$5</f>
        <v>0700340084410158</v>
      </c>
      <c r="D18" s="29" t="s">
        <v>26</v>
      </c>
      <c r="E18" s="54">
        <f t="shared" ref="E18" si="33">F18+G18</f>
        <v>46000</v>
      </c>
      <c r="F18" s="54">
        <v>0</v>
      </c>
      <c r="G18" s="55">
        <f>[3]รายการสรุป!$J$5</f>
        <v>46000</v>
      </c>
      <c r="H18" s="54">
        <f t="shared" ref="H18" si="34">J18+K18</f>
        <v>0</v>
      </c>
      <c r="I18" s="54">
        <f t="shared" ref="I18" si="35">H18*100/E18</f>
        <v>0</v>
      </c>
      <c r="J18" s="54">
        <v>0</v>
      </c>
      <c r="K18" s="54"/>
      <c r="L18" s="54">
        <f t="shared" ref="L18" si="36">N18+O18</f>
        <v>0</v>
      </c>
      <c r="M18" s="54">
        <f t="shared" ref="M18" si="37">L18*100/E18</f>
        <v>0</v>
      </c>
      <c r="N18" s="54">
        <v>0</v>
      </c>
      <c r="O18" s="54">
        <v>0</v>
      </c>
      <c r="P18" s="54">
        <f t="shared" si="20"/>
        <v>46000</v>
      </c>
      <c r="Q18" s="54">
        <f t="shared" ref="Q18" si="38">P18*100/E18</f>
        <v>100</v>
      </c>
      <c r="R18" s="54">
        <f t="shared" si="22"/>
        <v>0</v>
      </c>
      <c r="S18" s="54">
        <f t="shared" si="23"/>
        <v>46000</v>
      </c>
    </row>
    <row r="19" spans="1:20" ht="29.25" customHeight="1" x14ac:dyDescent="0.5">
      <c r="A19" s="9">
        <v>12</v>
      </c>
      <c r="B19" s="11" t="str">
        <f>[3]รายการสรุป!$E$6</f>
        <v>ซ่อมแซมคลองส่งน้ำสายป้อมตำรวจอ่างเก็บน้ำห้วยม่วง(ห้วยแฮ่)ต.บ้านตุ่น อ.เมือง จ.พะเยา</v>
      </c>
      <c r="C19" s="40" t="str">
        <f>[3]รายการสรุป!$I$6</f>
        <v>0700340084410174</v>
      </c>
      <c r="D19" s="29" t="s">
        <v>26</v>
      </c>
      <c r="E19" s="54">
        <f t="shared" ref="E19:E23" si="39">F19+G19</f>
        <v>14000</v>
      </c>
      <c r="F19" s="54">
        <v>0</v>
      </c>
      <c r="G19" s="55">
        <f>[3]รายการสรุป!$J$6</f>
        <v>14000</v>
      </c>
      <c r="H19" s="54">
        <f t="shared" ref="H19:H23" si="40">J19+K19</f>
        <v>0</v>
      </c>
      <c r="I19" s="54">
        <f t="shared" ref="I19:I23" si="41">H19*100/E19</f>
        <v>0</v>
      </c>
      <c r="J19" s="54">
        <v>0</v>
      </c>
      <c r="K19" s="54"/>
      <c r="L19" s="54">
        <f t="shared" ref="L19:L23" si="42">N19+O19</f>
        <v>0</v>
      </c>
      <c r="M19" s="54">
        <f t="shared" ref="M19:M23" si="43">L19*100/E19</f>
        <v>0</v>
      </c>
      <c r="N19" s="54">
        <v>0</v>
      </c>
      <c r="O19" s="54">
        <v>0</v>
      </c>
      <c r="P19" s="54">
        <f t="shared" ref="P19:P23" si="44">R19+S19</f>
        <v>14000</v>
      </c>
      <c r="Q19" s="54">
        <f t="shared" ref="Q19:Q23" si="45">P19*100/E19</f>
        <v>100</v>
      </c>
      <c r="R19" s="54">
        <f t="shared" ref="R19:R23" si="46">F19-J19-N19</f>
        <v>0</v>
      </c>
      <c r="S19" s="54">
        <f t="shared" ref="S19:S23" si="47">G19-K19-O19</f>
        <v>14000</v>
      </c>
    </row>
    <row r="20" spans="1:20" ht="29.25" customHeight="1" x14ac:dyDescent="0.5">
      <c r="A20" s="9">
        <v>13</v>
      </c>
      <c r="B20" s="11" t="str">
        <f>[3]รายการสรุป!$E$7</f>
        <v>ซ่อมแซมคลองส่งน้ำสายทุ่งขามกม.0+800ถึงกม.1+600อ่างเก็บน้ำห้วยไฟ ต.ป่าสัก อ.ภูซาง จ.พะเยา</v>
      </c>
      <c r="C20" s="40" t="str">
        <f>[3]รายการสรุป!$I$7</f>
        <v>0700340084410175</v>
      </c>
      <c r="D20" s="29" t="s">
        <v>26</v>
      </c>
      <c r="E20" s="54">
        <f t="shared" si="39"/>
        <v>42000</v>
      </c>
      <c r="F20" s="54">
        <v>0</v>
      </c>
      <c r="G20" s="55">
        <f>[3]รายการสรุป!$J$7</f>
        <v>42000</v>
      </c>
      <c r="H20" s="54">
        <f t="shared" si="40"/>
        <v>0</v>
      </c>
      <c r="I20" s="54">
        <f t="shared" si="41"/>
        <v>0</v>
      </c>
      <c r="J20" s="54">
        <v>0</v>
      </c>
      <c r="K20" s="54"/>
      <c r="L20" s="54">
        <f t="shared" si="42"/>
        <v>0</v>
      </c>
      <c r="M20" s="54">
        <f t="shared" si="43"/>
        <v>0</v>
      </c>
      <c r="N20" s="54">
        <v>0</v>
      </c>
      <c r="O20" s="54">
        <v>0</v>
      </c>
      <c r="P20" s="54">
        <f t="shared" si="44"/>
        <v>42000</v>
      </c>
      <c r="Q20" s="54">
        <f t="shared" si="45"/>
        <v>100</v>
      </c>
      <c r="R20" s="54">
        <f t="shared" si="46"/>
        <v>0</v>
      </c>
      <c r="S20" s="54">
        <f t="shared" si="47"/>
        <v>42000</v>
      </c>
    </row>
    <row r="21" spans="1:20" ht="29.25" customHeight="1" x14ac:dyDescent="0.5">
      <c r="A21" s="9">
        <v>14</v>
      </c>
      <c r="B21" s="11" t="str">
        <f>[3]รายการสรุป!$E$8</f>
        <v>ซ่อมแซมคลองส่งน้ำสายงฝายต้นไฮ อ่างเก็บน้ำห้วยไฟ ต.ภูซาง อ.ภูซาง จ.พะเยา</v>
      </c>
      <c r="C21" s="40" t="str">
        <f>[3]รายการสรุป!$I$8</f>
        <v>0700340084410176</v>
      </c>
      <c r="D21" s="29" t="s">
        <v>26</v>
      </c>
      <c r="E21" s="54">
        <f t="shared" si="39"/>
        <v>32700</v>
      </c>
      <c r="F21" s="54">
        <v>0</v>
      </c>
      <c r="G21" s="55">
        <f>[3]รายการสรุป!$J$8</f>
        <v>32700</v>
      </c>
      <c r="H21" s="54">
        <f t="shared" si="40"/>
        <v>0</v>
      </c>
      <c r="I21" s="54">
        <f t="shared" si="41"/>
        <v>0</v>
      </c>
      <c r="J21" s="54">
        <v>0</v>
      </c>
      <c r="K21" s="54"/>
      <c r="L21" s="54">
        <f t="shared" si="42"/>
        <v>0</v>
      </c>
      <c r="M21" s="54">
        <f t="shared" si="43"/>
        <v>0</v>
      </c>
      <c r="N21" s="54">
        <v>0</v>
      </c>
      <c r="O21" s="54">
        <v>0</v>
      </c>
      <c r="P21" s="54">
        <f t="shared" si="44"/>
        <v>32700</v>
      </c>
      <c r="Q21" s="54">
        <f t="shared" si="45"/>
        <v>100</v>
      </c>
      <c r="R21" s="54">
        <f t="shared" si="46"/>
        <v>0</v>
      </c>
      <c r="S21" s="54">
        <f t="shared" si="47"/>
        <v>32700</v>
      </c>
    </row>
    <row r="22" spans="1:20" ht="29.25" customHeight="1" x14ac:dyDescent="0.5">
      <c r="A22" s="9">
        <v>15</v>
      </c>
      <c r="B22" s="11" t="str">
        <f>[3]รายการสรุป!$E$9</f>
        <v>ซ่อมแซมคลองส่งน้ำสาย2L-LMC-4L-LMCอ่างเก็บน้ำห้วยสา ต.ร่มเย็น อ.เชียงคำ จ.พะเยา</v>
      </c>
      <c r="C22" s="40" t="str">
        <f>[3]รายการสรุป!$I$9</f>
        <v>0700340084410177</v>
      </c>
      <c r="D22" s="29" t="s">
        <v>26</v>
      </c>
      <c r="E22" s="54">
        <f t="shared" si="39"/>
        <v>23400</v>
      </c>
      <c r="F22" s="54">
        <v>0</v>
      </c>
      <c r="G22" s="55">
        <f>[3]รายการสรุป!$J$9</f>
        <v>23400</v>
      </c>
      <c r="H22" s="54">
        <f t="shared" si="40"/>
        <v>0</v>
      </c>
      <c r="I22" s="54">
        <f t="shared" si="41"/>
        <v>0</v>
      </c>
      <c r="J22" s="54">
        <v>0</v>
      </c>
      <c r="K22" s="54"/>
      <c r="L22" s="54">
        <f t="shared" si="42"/>
        <v>0</v>
      </c>
      <c r="M22" s="54">
        <f t="shared" si="43"/>
        <v>0</v>
      </c>
      <c r="N22" s="54">
        <v>0</v>
      </c>
      <c r="O22" s="54">
        <v>0</v>
      </c>
      <c r="P22" s="54">
        <f t="shared" si="44"/>
        <v>23400</v>
      </c>
      <c r="Q22" s="54">
        <f t="shared" si="45"/>
        <v>100</v>
      </c>
      <c r="R22" s="54">
        <f t="shared" si="46"/>
        <v>0</v>
      </c>
      <c r="S22" s="54">
        <f t="shared" si="47"/>
        <v>23400</v>
      </c>
    </row>
    <row r="23" spans="1:20" ht="29.25" customHeight="1" x14ac:dyDescent="0.5">
      <c r="A23" s="9">
        <v>16</v>
      </c>
      <c r="B23" s="11" t="str">
        <f>[3]รายการสรุป!$E$10</f>
        <v>ซ่อมแซมคลองส่งน้ำสายวังเตากลางอ่างเก็บน้ำร่องส้าน ต.ใหม่ร่มเย็น อ.เชียงคำ จ.พะเยา</v>
      </c>
      <c r="C23" s="40" t="str">
        <f>[3]รายการสรุป!$I$10</f>
        <v>0700340084410178</v>
      </c>
      <c r="D23" s="29" t="s">
        <v>26</v>
      </c>
      <c r="E23" s="54">
        <f t="shared" si="39"/>
        <v>23400</v>
      </c>
      <c r="F23" s="54">
        <v>0</v>
      </c>
      <c r="G23" s="55">
        <f>[3]รายการสรุป!$J$10</f>
        <v>23400</v>
      </c>
      <c r="H23" s="54">
        <f t="shared" si="40"/>
        <v>0</v>
      </c>
      <c r="I23" s="54">
        <f t="shared" si="41"/>
        <v>0</v>
      </c>
      <c r="J23" s="54">
        <v>0</v>
      </c>
      <c r="K23" s="54"/>
      <c r="L23" s="54">
        <f t="shared" si="42"/>
        <v>0</v>
      </c>
      <c r="M23" s="54">
        <f t="shared" si="43"/>
        <v>0</v>
      </c>
      <c r="N23" s="54">
        <v>0</v>
      </c>
      <c r="O23" s="54">
        <v>0</v>
      </c>
      <c r="P23" s="54">
        <f t="shared" si="44"/>
        <v>23400</v>
      </c>
      <c r="Q23" s="54">
        <f t="shared" si="45"/>
        <v>100</v>
      </c>
      <c r="R23" s="54">
        <f t="shared" si="46"/>
        <v>0</v>
      </c>
      <c r="S23" s="54">
        <f t="shared" si="47"/>
        <v>23400</v>
      </c>
    </row>
    <row r="24" spans="1:20" ht="29.25" customHeight="1" x14ac:dyDescent="0.5">
      <c r="A24" s="9">
        <v>17</v>
      </c>
      <c r="B24" s="11" t="str">
        <f>[3]รายการสรุป!$E$11</f>
        <v>ซ่อมแซมคลองส่งน้ำสายทุ่งกลางอ่างเก็บน้ำห้วยไฟ ต.ภูซาง อ.ภูซาง จ.พะเยา</v>
      </c>
      <c r="C24" s="40" t="str">
        <f>[3]รายการสรุป!$I$11</f>
        <v>0700340084410179</v>
      </c>
      <c r="D24" s="29" t="s">
        <v>26</v>
      </c>
      <c r="E24" s="54">
        <f t="shared" ref="E24:E25" si="48">F24+G24</f>
        <v>18600</v>
      </c>
      <c r="F24" s="54">
        <v>0</v>
      </c>
      <c r="G24" s="55">
        <f>[3]รายการสรุป!$J$11</f>
        <v>18600</v>
      </c>
      <c r="H24" s="54">
        <f t="shared" ref="H24:H25" si="49">J24+K24</f>
        <v>0</v>
      </c>
      <c r="I24" s="54">
        <f t="shared" ref="I24:I25" si="50">H24*100/E24</f>
        <v>0</v>
      </c>
      <c r="J24" s="54">
        <v>0</v>
      </c>
      <c r="K24" s="54"/>
      <c r="L24" s="54">
        <f t="shared" ref="L24:L25" si="51">N24+O24</f>
        <v>0</v>
      </c>
      <c r="M24" s="54">
        <f t="shared" ref="M24:M25" si="52">L24*100/E24</f>
        <v>0</v>
      </c>
      <c r="N24" s="54">
        <v>0</v>
      </c>
      <c r="O24" s="54">
        <v>0</v>
      </c>
      <c r="P24" s="54">
        <f t="shared" ref="P24:P27" si="53">R24+S24</f>
        <v>18600</v>
      </c>
      <c r="Q24" s="54">
        <f t="shared" ref="Q24:Q25" si="54">P24*100/E24</f>
        <v>100</v>
      </c>
      <c r="R24" s="54">
        <f t="shared" ref="R24:R27" si="55">F24-J24-N24</f>
        <v>0</v>
      </c>
      <c r="S24" s="54">
        <f t="shared" ref="S24:S27" si="56">G24-K24-O24</f>
        <v>18600</v>
      </c>
    </row>
    <row r="25" spans="1:20" ht="29.25" customHeight="1" x14ac:dyDescent="0.5">
      <c r="A25" s="9">
        <v>18</v>
      </c>
      <c r="B25" s="11" t="str">
        <f>[3]รายการสรุป!$E$12</f>
        <v>ซ่อมแซมคลองส่งน้ำสายทุ่งเหลายาวอ่างเก็บน้ำห้วยยัด ต.แม่ลาว อ.เชียงคำ จ.พะเยา</v>
      </c>
      <c r="C25" s="40" t="str">
        <f>[3]รายการสรุป!$I$12</f>
        <v>0700340084410180</v>
      </c>
      <c r="D25" s="29" t="s">
        <v>26</v>
      </c>
      <c r="E25" s="54">
        <f t="shared" si="48"/>
        <v>14100</v>
      </c>
      <c r="F25" s="54">
        <v>0</v>
      </c>
      <c r="G25" s="55">
        <f>[3]รายการสรุป!$J$12</f>
        <v>14100</v>
      </c>
      <c r="H25" s="54">
        <f t="shared" si="49"/>
        <v>0</v>
      </c>
      <c r="I25" s="54">
        <f t="shared" si="50"/>
        <v>0</v>
      </c>
      <c r="J25" s="54">
        <v>0</v>
      </c>
      <c r="K25" s="54"/>
      <c r="L25" s="54">
        <f t="shared" si="51"/>
        <v>0</v>
      </c>
      <c r="M25" s="54">
        <f t="shared" si="52"/>
        <v>0</v>
      </c>
      <c r="N25" s="54">
        <v>0</v>
      </c>
      <c r="O25" s="54">
        <v>0</v>
      </c>
      <c r="P25" s="54">
        <f t="shared" si="53"/>
        <v>14100</v>
      </c>
      <c r="Q25" s="54">
        <f t="shared" si="54"/>
        <v>100</v>
      </c>
      <c r="R25" s="54">
        <f t="shared" si="55"/>
        <v>0</v>
      </c>
      <c r="S25" s="54">
        <f t="shared" si="56"/>
        <v>14100</v>
      </c>
    </row>
    <row r="26" spans="1:20" ht="30" customHeight="1" x14ac:dyDescent="0.5">
      <c r="A26" s="9"/>
      <c r="B26" s="18" t="s">
        <v>28</v>
      </c>
      <c r="C26" s="18"/>
      <c r="D26" s="24"/>
      <c r="E26" s="19">
        <f>F26+G26</f>
        <v>256800</v>
      </c>
      <c r="F26" s="19">
        <f>SUM(F27:F53)</f>
        <v>0</v>
      </c>
      <c r="G26" s="19">
        <f>SUM(G27:G32)</f>
        <v>256800</v>
      </c>
      <c r="H26" s="19">
        <f>J26+K26</f>
        <v>0</v>
      </c>
      <c r="I26" s="19">
        <f>H26*100/E26</f>
        <v>0</v>
      </c>
      <c r="J26" s="19">
        <f>SUM(J27:J53)</f>
        <v>0</v>
      </c>
      <c r="K26" s="19">
        <f>SUM(K27:K32)</f>
        <v>0</v>
      </c>
      <c r="L26" s="19">
        <f>N26+O26</f>
        <v>0</v>
      </c>
      <c r="M26" s="19">
        <f>L26*100/E26</f>
        <v>0</v>
      </c>
      <c r="N26" s="19">
        <f>SUM(N27:N53)</f>
        <v>0</v>
      </c>
      <c r="O26" s="19">
        <f>SUM(O27:O53)</f>
        <v>0</v>
      </c>
      <c r="P26" s="19">
        <f t="shared" si="53"/>
        <v>256800</v>
      </c>
      <c r="Q26" s="19">
        <f>P26*100/E26</f>
        <v>100</v>
      </c>
      <c r="R26" s="19">
        <f t="shared" si="55"/>
        <v>0</v>
      </c>
      <c r="S26" s="19">
        <f t="shared" si="56"/>
        <v>256800</v>
      </c>
      <c r="T26" s="16">
        <f>I26+M26+Q26</f>
        <v>100</v>
      </c>
    </row>
    <row r="27" spans="1:20" ht="30" customHeight="1" x14ac:dyDescent="0.5">
      <c r="A27" s="9">
        <v>19</v>
      </c>
      <c r="B27" s="11" t="str">
        <f>[4]รายการสรุป!$E$5</f>
        <v>ซ่อมแซมคลองส่งน้ำเหมืองนาโฮ่งงฝายลูกที่1 อ่างเก็บน้ำน้ำแก่น(พรด.)ต.น้ำแก่น อ.ภูเพียง จ.น่าน</v>
      </c>
      <c r="C27" s="11" t="str">
        <f>[4]รายการสรุป!$I$5</f>
        <v>0700340084410181</v>
      </c>
      <c r="D27" s="29" t="s">
        <v>26</v>
      </c>
      <c r="E27" s="54">
        <f t="shared" ref="E27" si="57">F27+G27</f>
        <v>59400</v>
      </c>
      <c r="F27" s="54">
        <v>0</v>
      </c>
      <c r="G27" s="55">
        <f>[4]รายการสรุป!$J$5</f>
        <v>59400</v>
      </c>
      <c r="H27" s="54">
        <f t="shared" ref="H27" si="58">J27+K27</f>
        <v>0</v>
      </c>
      <c r="I27" s="54">
        <f t="shared" ref="I27" si="59">H27*100/E27</f>
        <v>0</v>
      </c>
      <c r="J27" s="54">
        <v>0</v>
      </c>
      <c r="K27" s="54"/>
      <c r="L27" s="54">
        <f t="shared" ref="L27" si="60">N27+O27</f>
        <v>0</v>
      </c>
      <c r="M27" s="54">
        <f t="shared" ref="M27" si="61">L27*100/E27</f>
        <v>0</v>
      </c>
      <c r="N27" s="54">
        <v>0</v>
      </c>
      <c r="O27" s="54">
        <v>0</v>
      </c>
      <c r="P27" s="54">
        <f t="shared" si="53"/>
        <v>59400</v>
      </c>
      <c r="Q27" s="54">
        <f t="shared" ref="Q27" si="62">P27*100/E27</f>
        <v>100</v>
      </c>
      <c r="R27" s="54">
        <f t="shared" si="55"/>
        <v>0</v>
      </c>
      <c r="S27" s="54">
        <f t="shared" si="56"/>
        <v>59400</v>
      </c>
    </row>
    <row r="28" spans="1:20" ht="30" customHeight="1" x14ac:dyDescent="0.5">
      <c r="A28" s="9">
        <v>20</v>
      </c>
      <c r="B28" s="11" t="str">
        <f>[4]รายการสรุป!$E$6</f>
        <v>ซ่อมแซมคลองส่งน้ำ 1L-LMCฝายน้ำสอด(พรด.)ต.และอ.ทุ่งช้าง จ.น่าน</v>
      </c>
      <c r="C28" s="11" t="str">
        <f>[4]รายการสรุป!$I$6</f>
        <v>0700340084410182</v>
      </c>
      <c r="D28" s="29" t="s">
        <v>26</v>
      </c>
      <c r="E28" s="54">
        <f t="shared" ref="E28:E31" si="63">F28+G28</f>
        <v>38000</v>
      </c>
      <c r="F28" s="54">
        <v>0</v>
      </c>
      <c r="G28" s="55">
        <f>[5]รายการสรุป!$J$6</f>
        <v>38000</v>
      </c>
      <c r="H28" s="54">
        <f t="shared" ref="H28:H31" si="64">J28+K28</f>
        <v>0</v>
      </c>
      <c r="I28" s="54">
        <f t="shared" ref="I28:I31" si="65">H28*100/E28</f>
        <v>0</v>
      </c>
      <c r="J28" s="54">
        <v>0</v>
      </c>
      <c r="K28" s="54"/>
      <c r="L28" s="54">
        <f t="shared" ref="L28:L31" si="66">N28+O28</f>
        <v>0</v>
      </c>
      <c r="M28" s="54">
        <f t="shared" ref="M28:M31" si="67">L28*100/E28</f>
        <v>0</v>
      </c>
      <c r="N28" s="54">
        <v>0</v>
      </c>
      <c r="O28" s="54">
        <v>0</v>
      </c>
      <c r="P28" s="54">
        <f t="shared" ref="P28:P33" si="68">R28+S28</f>
        <v>38000</v>
      </c>
      <c r="Q28" s="54">
        <f t="shared" ref="Q28:Q32" si="69">P28*100/E28</f>
        <v>100</v>
      </c>
      <c r="R28" s="54">
        <f t="shared" ref="R28:R33" si="70">F28-J28-N28</f>
        <v>0</v>
      </c>
      <c r="S28" s="54">
        <f t="shared" ref="S28:S33" si="71">G28-K28-O28</f>
        <v>38000</v>
      </c>
    </row>
    <row r="29" spans="1:20" ht="30" customHeight="1" x14ac:dyDescent="0.5">
      <c r="A29" s="9">
        <v>21</v>
      </c>
      <c r="B29" s="11" t="str">
        <f>[4]รายการสรุป!$E$7</f>
        <v>ซ่อมแซมอ่างเก็บน้ำบ้านน้ำว้า(พรด.)ต.น้ำพาง อ.แม่จริม จ.น่าน</v>
      </c>
      <c r="C29" s="11" t="str">
        <f>[4]รายการสรุป!$I$7</f>
        <v>0700340084410184</v>
      </c>
      <c r="D29" s="29" t="s">
        <v>26</v>
      </c>
      <c r="E29" s="54">
        <f t="shared" si="63"/>
        <v>42100</v>
      </c>
      <c r="F29" s="54">
        <v>0</v>
      </c>
      <c r="G29" s="55">
        <f>[5]รายการสรุป!$J$7</f>
        <v>42100</v>
      </c>
      <c r="H29" s="54">
        <f t="shared" si="64"/>
        <v>0</v>
      </c>
      <c r="I29" s="54">
        <f t="shared" si="65"/>
        <v>0</v>
      </c>
      <c r="J29" s="54">
        <v>0</v>
      </c>
      <c r="K29" s="54"/>
      <c r="L29" s="54">
        <f t="shared" si="66"/>
        <v>0</v>
      </c>
      <c r="M29" s="54">
        <f t="shared" si="67"/>
        <v>0</v>
      </c>
      <c r="N29" s="54">
        <v>0</v>
      </c>
      <c r="O29" s="54">
        <v>0</v>
      </c>
      <c r="P29" s="54">
        <f t="shared" si="68"/>
        <v>42100</v>
      </c>
      <c r="Q29" s="54">
        <f t="shared" si="69"/>
        <v>100</v>
      </c>
      <c r="R29" s="54">
        <f t="shared" si="70"/>
        <v>0</v>
      </c>
      <c r="S29" s="54">
        <f t="shared" si="71"/>
        <v>42100</v>
      </c>
    </row>
    <row r="30" spans="1:20" ht="30" customHeight="1" x14ac:dyDescent="0.5">
      <c r="A30" s="9">
        <v>22</v>
      </c>
      <c r="B30" s="11" t="str">
        <f>[4]รายการสรุป!$E$8</f>
        <v>ซ่อมแซมคลองส่งน้ำ LMCอ่างเก็บน้ำน้ำและ กม.0+500ถึง กม.0+603(พรด.)ต.และ อ.ทุ่งช้าง จ.น่าน</v>
      </c>
      <c r="C30" s="11" t="str">
        <f>[4]รายการสรุป!$I$8</f>
        <v>0700340084410187</v>
      </c>
      <c r="D30" s="29" t="s">
        <v>26</v>
      </c>
      <c r="E30" s="54">
        <f t="shared" si="63"/>
        <v>38000</v>
      </c>
      <c r="F30" s="54">
        <v>0</v>
      </c>
      <c r="G30" s="55">
        <f>[5]รายการสรุป!$J$8</f>
        <v>38000</v>
      </c>
      <c r="H30" s="54">
        <f t="shared" si="64"/>
        <v>0</v>
      </c>
      <c r="I30" s="54">
        <f t="shared" si="65"/>
        <v>0</v>
      </c>
      <c r="J30" s="54">
        <v>0</v>
      </c>
      <c r="K30" s="54"/>
      <c r="L30" s="54">
        <f t="shared" si="66"/>
        <v>0</v>
      </c>
      <c r="M30" s="54">
        <f t="shared" si="67"/>
        <v>0</v>
      </c>
      <c r="N30" s="54">
        <v>0</v>
      </c>
      <c r="O30" s="54">
        <v>0</v>
      </c>
      <c r="P30" s="54">
        <f t="shared" si="68"/>
        <v>38000</v>
      </c>
      <c r="Q30" s="54">
        <f t="shared" si="69"/>
        <v>100</v>
      </c>
      <c r="R30" s="54">
        <f t="shared" si="70"/>
        <v>0</v>
      </c>
      <c r="S30" s="54">
        <f t="shared" si="71"/>
        <v>38000</v>
      </c>
    </row>
    <row r="31" spans="1:20" ht="31.5" customHeight="1" x14ac:dyDescent="0.5">
      <c r="A31" s="9">
        <v>23</v>
      </c>
      <c r="B31" s="11" t="str">
        <f>[4]รายการสรุป!$E$9</f>
        <v>ซ่อมแซมคลองส่งน้ำ2R-RMCอ่างเก็บน้ำน้ำปอน กม.1+000ถึงกม.1+125(พรด.)ต.ปอน อ.ทุ่งช้าง จ.น่าน</v>
      </c>
      <c r="C31" s="11" t="str">
        <f>[4]รายการสรุป!$I$9</f>
        <v>0700340084410188</v>
      </c>
      <c r="D31" s="29" t="s">
        <v>26</v>
      </c>
      <c r="E31" s="54">
        <f t="shared" si="63"/>
        <v>38000</v>
      </c>
      <c r="F31" s="54">
        <v>0</v>
      </c>
      <c r="G31" s="55">
        <f>[5]รายการสรุป!$J$9</f>
        <v>38000</v>
      </c>
      <c r="H31" s="54">
        <f t="shared" si="64"/>
        <v>0</v>
      </c>
      <c r="I31" s="54">
        <f t="shared" si="65"/>
        <v>0</v>
      </c>
      <c r="J31" s="54">
        <v>0</v>
      </c>
      <c r="K31" s="54"/>
      <c r="L31" s="54">
        <f t="shared" si="66"/>
        <v>0</v>
      </c>
      <c r="M31" s="54">
        <f t="shared" si="67"/>
        <v>0</v>
      </c>
      <c r="N31" s="54">
        <v>0</v>
      </c>
      <c r="O31" s="54">
        <v>0</v>
      </c>
      <c r="P31" s="54">
        <f t="shared" si="68"/>
        <v>38000</v>
      </c>
      <c r="Q31" s="54">
        <f t="shared" si="69"/>
        <v>100</v>
      </c>
      <c r="R31" s="54">
        <f t="shared" si="70"/>
        <v>0</v>
      </c>
      <c r="S31" s="54">
        <f t="shared" si="71"/>
        <v>38000</v>
      </c>
    </row>
    <row r="32" spans="1:20" ht="30.75" customHeight="1" x14ac:dyDescent="0.5">
      <c r="A32" s="9">
        <v>24</v>
      </c>
      <c r="B32" s="11" t="str">
        <f>[4]รายการสรุป!$E$10</f>
        <v>ซ่อมแซมระบบส่งน้ำฝั่งขวาฝายน้ำอวน(พรด.) ต.อวน อ.ปัว จ.น่าน</v>
      </c>
      <c r="C32" s="11" t="str">
        <f>[4]รายการสรุป!$I$10</f>
        <v>0700340084410189</v>
      </c>
      <c r="D32" s="29" t="s">
        <v>26</v>
      </c>
      <c r="E32" s="54">
        <f t="shared" ref="E32" si="72">F32+G32</f>
        <v>41300</v>
      </c>
      <c r="F32" s="54">
        <v>0</v>
      </c>
      <c r="G32" s="55">
        <f>[4]รายการสรุป!$J$10</f>
        <v>41300</v>
      </c>
      <c r="H32" s="54">
        <f t="shared" ref="H32" si="73">J32+K32</f>
        <v>0</v>
      </c>
      <c r="I32" s="54">
        <f t="shared" ref="I32" si="74">H32*100/E32</f>
        <v>0</v>
      </c>
      <c r="J32" s="54">
        <v>0</v>
      </c>
      <c r="K32" s="54"/>
      <c r="L32" s="54">
        <f t="shared" ref="L32" si="75">N32+O32</f>
        <v>0</v>
      </c>
      <c r="M32" s="54">
        <f t="shared" ref="M32" si="76">L32*100/E32</f>
        <v>0</v>
      </c>
      <c r="N32" s="54">
        <v>0</v>
      </c>
      <c r="O32" s="54">
        <v>0</v>
      </c>
      <c r="P32" s="54">
        <f t="shared" si="68"/>
        <v>41300</v>
      </c>
      <c r="Q32" s="54">
        <f t="shared" si="69"/>
        <v>100</v>
      </c>
      <c r="R32" s="54">
        <f t="shared" si="70"/>
        <v>0</v>
      </c>
      <c r="S32" s="54">
        <f t="shared" si="71"/>
        <v>41300</v>
      </c>
    </row>
    <row r="33" spans="1:19" ht="30" customHeight="1" x14ac:dyDescent="0.5">
      <c r="A33" s="9"/>
      <c r="B33" s="18" t="s">
        <v>29</v>
      </c>
      <c r="C33" s="18"/>
      <c r="D33" s="24"/>
      <c r="E33" s="19">
        <f>F33+G33</f>
        <v>855000</v>
      </c>
      <c r="F33" s="19">
        <f>SUM(F34:F36)</f>
        <v>0</v>
      </c>
      <c r="G33" s="19">
        <f>SUM(G34:G36)</f>
        <v>855000</v>
      </c>
      <c r="H33" s="19">
        <f>J33+K33</f>
        <v>0</v>
      </c>
      <c r="I33" s="19">
        <f>H33*100/E33</f>
        <v>0</v>
      </c>
      <c r="J33" s="19">
        <f>SUM(J34:J36)</f>
        <v>0</v>
      </c>
      <c r="K33" s="19">
        <f>SUM(K34:K36)</f>
        <v>0</v>
      </c>
      <c r="L33" s="19">
        <f>N33+O33</f>
        <v>0</v>
      </c>
      <c r="M33" s="19">
        <f>L33*100/E33</f>
        <v>0</v>
      </c>
      <c r="N33" s="19">
        <f>SUM(N34:N36)</f>
        <v>0</v>
      </c>
      <c r="O33" s="19">
        <f>SUM(O34:O36)</f>
        <v>0</v>
      </c>
      <c r="P33" s="19">
        <f t="shared" si="68"/>
        <v>855000</v>
      </c>
      <c r="Q33" s="19">
        <f>P33*100/E33</f>
        <v>100</v>
      </c>
      <c r="R33" s="19">
        <f t="shared" si="70"/>
        <v>0</v>
      </c>
      <c r="S33" s="19">
        <f t="shared" si="71"/>
        <v>855000</v>
      </c>
    </row>
    <row r="34" spans="1:19" ht="30" customHeight="1" x14ac:dyDescent="0.5">
      <c r="A34" s="9">
        <v>25</v>
      </c>
      <c r="B34" s="11" t="str">
        <f>[6]รายการสรุป!$E$5</f>
        <v>ปรับปรุงระบบส่งน้ำงายสวยโฮ่ง ระยะ2 ต.นาโป่ง อ.เถิน จ.ลำปาง</v>
      </c>
      <c r="C34" s="11" t="str">
        <f>[6]รายการสรุป!$I$5</f>
        <v>0700340084410436</v>
      </c>
      <c r="D34" s="29" t="s">
        <v>26</v>
      </c>
      <c r="E34" s="54">
        <f t="shared" ref="E34" si="77">F34+G34</f>
        <v>179000</v>
      </c>
      <c r="F34" s="54">
        <v>0</v>
      </c>
      <c r="G34" s="55">
        <f>[6]รายการสรุป!$J$5</f>
        <v>179000</v>
      </c>
      <c r="H34" s="54">
        <f t="shared" ref="H34" si="78">J34+K34</f>
        <v>0</v>
      </c>
      <c r="I34" s="54">
        <f t="shared" ref="I34" si="79">H34*100/E34</f>
        <v>0</v>
      </c>
      <c r="J34" s="54">
        <v>0</v>
      </c>
      <c r="K34" s="54"/>
      <c r="L34" s="54">
        <f t="shared" ref="L34" si="80">N34+O34</f>
        <v>0</v>
      </c>
      <c r="M34" s="54">
        <f t="shared" ref="M34" si="81">L34*100/E34</f>
        <v>0</v>
      </c>
      <c r="N34" s="54">
        <v>0</v>
      </c>
      <c r="O34" s="54">
        <v>0</v>
      </c>
      <c r="P34" s="54">
        <f t="shared" ref="P34" si="82">R34+S34</f>
        <v>179000</v>
      </c>
      <c r="Q34" s="54">
        <f t="shared" ref="Q34" si="83">P34*100/E34</f>
        <v>100</v>
      </c>
      <c r="R34" s="54">
        <f t="shared" ref="R34" si="84">F34-J34-N34</f>
        <v>0</v>
      </c>
      <c r="S34" s="54">
        <f t="shared" ref="S34" si="85">G34-K34-O34</f>
        <v>179000</v>
      </c>
    </row>
    <row r="35" spans="1:19" ht="30" customHeight="1" x14ac:dyDescent="0.5">
      <c r="A35" s="9">
        <v>26</v>
      </c>
      <c r="B35" s="11" t="str">
        <f>[6]รายการสรุป!$E$6</f>
        <v>ระบบส่งน้ำอ่างเก็บน้ำแม่ไพร(ฝายทุ่งเก้ามุ่น) ต.วอแก้ว อ.ห้างฉัตร จ.ลำปาง</v>
      </c>
      <c r="C35" s="11" t="str">
        <f>[6]รายการสรุป!$I$6</f>
        <v>0700340084410437</v>
      </c>
      <c r="D35" s="29" t="s">
        <v>26</v>
      </c>
      <c r="E35" s="54">
        <f t="shared" ref="E35" si="86">F35+G35</f>
        <v>211000</v>
      </c>
      <c r="F35" s="54">
        <v>0</v>
      </c>
      <c r="G35" s="55">
        <f>[6]รายการสรุป!$J$6</f>
        <v>211000</v>
      </c>
      <c r="H35" s="54">
        <f t="shared" ref="H35" si="87">J35+K35</f>
        <v>0</v>
      </c>
      <c r="I35" s="54">
        <f t="shared" ref="I35" si="88">H35*100/E35</f>
        <v>0</v>
      </c>
      <c r="J35" s="54">
        <v>0</v>
      </c>
      <c r="K35" s="54"/>
      <c r="L35" s="54">
        <f t="shared" ref="L35" si="89">N35+O35</f>
        <v>0</v>
      </c>
      <c r="M35" s="54">
        <f t="shared" ref="M35" si="90">L35*100/E35</f>
        <v>0</v>
      </c>
      <c r="N35" s="54">
        <v>0</v>
      </c>
      <c r="O35" s="54">
        <v>0</v>
      </c>
      <c r="P35" s="54">
        <f t="shared" ref="P35" si="91">R35+S35</f>
        <v>211000</v>
      </c>
      <c r="Q35" s="54">
        <f t="shared" ref="Q35" si="92">P35*100/E35</f>
        <v>100</v>
      </c>
      <c r="R35" s="54">
        <f t="shared" ref="R35" si="93">F35-J35-N35</f>
        <v>0</v>
      </c>
      <c r="S35" s="54">
        <f t="shared" ref="S35" si="94">G35-K35-O35</f>
        <v>211000</v>
      </c>
    </row>
    <row r="36" spans="1:19" ht="30" customHeight="1" x14ac:dyDescent="0.5">
      <c r="A36" s="9">
        <v>27</v>
      </c>
      <c r="B36" s="11" t="str">
        <f>[6]รายการสรุป!$E$7</f>
        <v>ระบบส่งน้ำอ่างเก็บน้ำแม่แมะ ต.เมืองปาน อ.เมืองปาน จ.ลำปาง</v>
      </c>
      <c r="C36" s="11" t="str">
        <f>[6]รายการสรุป!$I$7</f>
        <v>0700340084420017</v>
      </c>
      <c r="D36" s="29" t="s">
        <v>26</v>
      </c>
      <c r="E36" s="54">
        <f t="shared" ref="E36" si="95">F36+G36</f>
        <v>465000</v>
      </c>
      <c r="F36" s="54">
        <v>0</v>
      </c>
      <c r="G36" s="55">
        <f>[6]รายการสรุป!$J$7</f>
        <v>465000</v>
      </c>
      <c r="H36" s="54">
        <f t="shared" ref="H36" si="96">J36+K36</f>
        <v>0</v>
      </c>
      <c r="I36" s="54">
        <f t="shared" ref="I36" si="97">H36*100/E36</f>
        <v>0</v>
      </c>
      <c r="J36" s="54">
        <v>0</v>
      </c>
      <c r="K36" s="54"/>
      <c r="L36" s="54">
        <f t="shared" ref="L36" si="98">N36+O36</f>
        <v>0</v>
      </c>
      <c r="M36" s="54">
        <f t="shared" ref="M36" si="99">L36*100/E36</f>
        <v>0</v>
      </c>
      <c r="N36" s="54">
        <v>0</v>
      </c>
      <c r="O36" s="54">
        <v>0</v>
      </c>
      <c r="P36" s="54">
        <f t="shared" ref="P36:P38" si="100">R36+S36</f>
        <v>465000</v>
      </c>
      <c r="Q36" s="54">
        <f t="shared" ref="Q36" si="101">P36*100/E36</f>
        <v>100</v>
      </c>
      <c r="R36" s="54">
        <f t="shared" ref="R36:R38" si="102">F36-J36-N36</f>
        <v>0</v>
      </c>
      <c r="S36" s="54">
        <f t="shared" ref="S36:S38" si="103">G36-K36-O36</f>
        <v>465000</v>
      </c>
    </row>
    <row r="37" spans="1:19" ht="30" customHeight="1" x14ac:dyDescent="0.5">
      <c r="A37" s="9"/>
      <c r="B37" s="18" t="s">
        <v>30</v>
      </c>
      <c r="C37" s="18"/>
      <c r="D37" s="24"/>
      <c r="E37" s="19">
        <f>F37+G37</f>
        <v>37000</v>
      </c>
      <c r="F37" s="19">
        <f>SUM(F38)</f>
        <v>0</v>
      </c>
      <c r="G37" s="19">
        <f>SUM(G38)</f>
        <v>37000</v>
      </c>
      <c r="H37" s="19">
        <f>J37+K37</f>
        <v>0</v>
      </c>
      <c r="I37" s="19">
        <f>H37*100/E37</f>
        <v>0</v>
      </c>
      <c r="J37" s="19">
        <f>SUM(J38)</f>
        <v>0</v>
      </c>
      <c r="K37" s="19">
        <f>SUM(K38)</f>
        <v>0</v>
      </c>
      <c r="L37" s="19">
        <f>N37+O37</f>
        <v>0</v>
      </c>
      <c r="M37" s="19">
        <f>L37*100/E37</f>
        <v>0</v>
      </c>
      <c r="N37" s="19">
        <f>SUM(N38)</f>
        <v>0</v>
      </c>
      <c r="O37" s="19">
        <f>SUM(O38)</f>
        <v>0</v>
      </c>
      <c r="P37" s="19">
        <f t="shared" si="100"/>
        <v>37000</v>
      </c>
      <c r="Q37" s="19">
        <f>P37*100/E37</f>
        <v>100</v>
      </c>
      <c r="R37" s="19">
        <f t="shared" si="102"/>
        <v>0</v>
      </c>
      <c r="S37" s="19">
        <f t="shared" si="103"/>
        <v>37000</v>
      </c>
    </row>
    <row r="38" spans="1:19" ht="36" customHeight="1" x14ac:dyDescent="0.5">
      <c r="A38" s="9">
        <v>28</v>
      </c>
      <c r="B38" s="11" t="str">
        <f>[7]รายการสรุป!$E$5</f>
        <v>งานถังพักน้ำอ่างเก็บน้ำห้วยสร้อยศรี ต.จุน อ.จุน จ.พะเยา</v>
      </c>
      <c r="C38" s="11" t="str">
        <f>[7]รายการสรุป!$I$5</f>
        <v>0700340084410438</v>
      </c>
      <c r="D38" s="29" t="s">
        <v>26</v>
      </c>
      <c r="E38" s="54">
        <f t="shared" ref="E38" si="104">F38+G38</f>
        <v>37000</v>
      </c>
      <c r="F38" s="54">
        <v>0</v>
      </c>
      <c r="G38" s="55">
        <f>[7]รายการสรุป!$J$5</f>
        <v>37000</v>
      </c>
      <c r="H38" s="54">
        <f t="shared" ref="H38" si="105">J38+K38</f>
        <v>0</v>
      </c>
      <c r="I38" s="54">
        <f t="shared" ref="I38" si="106">H38*100/E38</f>
        <v>0</v>
      </c>
      <c r="J38" s="54">
        <v>0</v>
      </c>
      <c r="K38" s="54"/>
      <c r="L38" s="54">
        <f t="shared" ref="L38" si="107">N38+O38</f>
        <v>0</v>
      </c>
      <c r="M38" s="54">
        <f t="shared" ref="M38" si="108">L38*100/E38</f>
        <v>0</v>
      </c>
      <c r="N38" s="54">
        <v>0</v>
      </c>
      <c r="O38" s="54">
        <v>0</v>
      </c>
      <c r="P38" s="54">
        <f t="shared" si="100"/>
        <v>37000</v>
      </c>
      <c r="Q38" s="54">
        <f t="shared" ref="Q38" si="109">P38*100/E38</f>
        <v>100</v>
      </c>
      <c r="R38" s="54">
        <f t="shared" si="102"/>
        <v>0</v>
      </c>
      <c r="S38" s="54">
        <f t="shared" si="103"/>
        <v>37000</v>
      </c>
    </row>
    <row r="39" spans="1:19" ht="30" customHeight="1" x14ac:dyDescent="0.5">
      <c r="A39" s="9"/>
      <c r="B39" s="18" t="s">
        <v>30</v>
      </c>
      <c r="C39" s="18"/>
      <c r="D39" s="24"/>
      <c r="E39" s="19">
        <f>F39+G39</f>
        <v>405000</v>
      </c>
      <c r="F39" s="19">
        <f>SUM(F40:F41)</f>
        <v>0</v>
      </c>
      <c r="G39" s="19">
        <f>SUM(G40)</f>
        <v>405000</v>
      </c>
      <c r="H39" s="19">
        <f>J39+K39</f>
        <v>0</v>
      </c>
      <c r="I39" s="19">
        <f>H39*100/E39</f>
        <v>0</v>
      </c>
      <c r="J39" s="19">
        <f>SUM(J40)</f>
        <v>0</v>
      </c>
      <c r="K39" s="19">
        <f>SUM(K40)</f>
        <v>0</v>
      </c>
      <c r="L39" s="19">
        <f>N39+O39</f>
        <v>0</v>
      </c>
      <c r="M39" s="19">
        <f>L39*100/E39</f>
        <v>0</v>
      </c>
      <c r="N39" s="19">
        <f>SUM(N40)</f>
        <v>0</v>
      </c>
      <c r="O39" s="19">
        <f>SUM(O40)</f>
        <v>0</v>
      </c>
      <c r="P39" s="19">
        <f t="shared" ref="P39:P40" si="110">R39+S39</f>
        <v>405000</v>
      </c>
      <c r="Q39" s="19">
        <f>P39*100/E39</f>
        <v>100</v>
      </c>
      <c r="R39" s="19">
        <f t="shared" ref="R39:R40" si="111">F39-J39-N39</f>
        <v>0</v>
      </c>
      <c r="S39" s="19">
        <f t="shared" ref="S39:S40" si="112">G39-K39-O39</f>
        <v>405000</v>
      </c>
    </row>
    <row r="40" spans="1:19" ht="30" customHeight="1" x14ac:dyDescent="0.5">
      <c r="A40" s="9">
        <v>29</v>
      </c>
      <c r="B40" s="11" t="str">
        <f>[8]รายการสรุป!$E$5</f>
        <v>ระบบส่งน้ำฝั่งขวานาสาโครงการพัฒนาพื้นที่สูงแบบโครงการหลวงแม่จริม ต.แม่จริม อ.แม่จริม จ.น่าน</v>
      </c>
      <c r="C40" s="11" t="str">
        <f>[8]รายการสรุป!$I$5</f>
        <v>0700340084420008</v>
      </c>
      <c r="D40" s="29" t="s">
        <v>26</v>
      </c>
      <c r="E40" s="54">
        <f t="shared" ref="E40" si="113">F40+G40</f>
        <v>405000</v>
      </c>
      <c r="F40" s="54">
        <v>0</v>
      </c>
      <c r="G40" s="55">
        <f>[8]รายการสรุป!$J$5</f>
        <v>405000</v>
      </c>
      <c r="H40" s="54">
        <f t="shared" ref="H40" si="114">J40+K40</f>
        <v>0</v>
      </c>
      <c r="I40" s="54">
        <f t="shared" ref="I40" si="115">H40*100/E40</f>
        <v>0</v>
      </c>
      <c r="J40" s="54">
        <v>0</v>
      </c>
      <c r="K40" s="54"/>
      <c r="L40" s="54">
        <f t="shared" ref="L40" si="116">N40+O40</f>
        <v>0</v>
      </c>
      <c r="M40" s="54">
        <f t="shared" ref="M40" si="117">L40*100/E40</f>
        <v>0</v>
      </c>
      <c r="N40" s="54">
        <v>0</v>
      </c>
      <c r="O40" s="54">
        <v>0</v>
      </c>
      <c r="P40" s="54">
        <f t="shared" si="110"/>
        <v>405000</v>
      </c>
      <c r="Q40" s="54">
        <f t="shared" ref="Q40" si="118">P40*100/E40</f>
        <v>100</v>
      </c>
      <c r="R40" s="54">
        <f t="shared" si="111"/>
        <v>0</v>
      </c>
      <c r="S40" s="54">
        <f t="shared" si="112"/>
        <v>405000</v>
      </c>
    </row>
    <row r="41" spans="1:19" ht="36" customHeight="1" x14ac:dyDescent="0.5">
      <c r="A41" s="9"/>
      <c r="B41" s="20" t="s">
        <v>31</v>
      </c>
      <c r="C41" s="20"/>
      <c r="D41" s="23"/>
      <c r="E41" s="21">
        <f>G41+F41</f>
        <v>17025784</v>
      </c>
      <c r="F41" s="22">
        <f>F42+F54+F74+F81+F83+F99+F105+F108+F110</f>
        <v>0</v>
      </c>
      <c r="G41" s="21">
        <f>G42+G54+G74+G81+G83+G99+G105+G108+G110</f>
        <v>17025784</v>
      </c>
      <c r="H41" s="22">
        <f>K41+J41</f>
        <v>173394.3</v>
      </c>
      <c r="I41" s="22">
        <f>H41*100/E41</f>
        <v>1.0184218242167291</v>
      </c>
      <c r="J41" s="22">
        <f>J42+J54+J74+J81+J83+J99+J105+J108+J110</f>
        <v>0</v>
      </c>
      <c r="K41" s="22">
        <f>K42+K54+K74+K81+K83+K99+K105+K108+K110</f>
        <v>173394.3</v>
      </c>
      <c r="L41" s="22">
        <f>O41+N41</f>
        <v>0</v>
      </c>
      <c r="M41" s="20"/>
      <c r="N41" s="22">
        <f>N42+N54+N74+N83+N81+N99+N105+N108+N110</f>
        <v>0</v>
      </c>
      <c r="O41" s="22">
        <f>O42+O54+O74+O81+O83+O99+O105+O108+O110</f>
        <v>0</v>
      </c>
      <c r="P41" s="22">
        <f>S41+R41</f>
        <v>16852389.699999999</v>
      </c>
      <c r="Q41" s="21">
        <f>P41*100/E41</f>
        <v>98.98157817578327</v>
      </c>
      <c r="R41" s="22">
        <f>F41-J41-N41</f>
        <v>0</v>
      </c>
      <c r="S41" s="22">
        <f>G41-K41-O41</f>
        <v>16852389.699999999</v>
      </c>
    </row>
    <row r="42" spans="1:19" ht="35.25" customHeight="1" x14ac:dyDescent="0.5">
      <c r="A42" s="9"/>
      <c r="B42" s="18" t="s">
        <v>25</v>
      </c>
      <c r="C42" s="18"/>
      <c r="D42" s="24"/>
      <c r="E42" s="19">
        <f>F42+G42</f>
        <v>374300</v>
      </c>
      <c r="F42" s="19">
        <f>SUM(F43:F53)</f>
        <v>0</v>
      </c>
      <c r="G42" s="19">
        <f>SUM(G43:G53)</f>
        <v>374300</v>
      </c>
      <c r="H42" s="19">
        <f>J42+K42</f>
        <v>33899.300000000003</v>
      </c>
      <c r="I42" s="19">
        <f>H42*100/E42</f>
        <v>9.05671920919049</v>
      </c>
      <c r="J42" s="19">
        <f>SUM(J43:J53)</f>
        <v>0</v>
      </c>
      <c r="K42" s="19">
        <f>SUM(K43:K53)</f>
        <v>33899.300000000003</v>
      </c>
      <c r="L42" s="19">
        <f>N42+O42</f>
        <v>0</v>
      </c>
      <c r="M42" s="19">
        <f>L42*100/E42</f>
        <v>0</v>
      </c>
      <c r="N42" s="19">
        <f>SUM(N43:N53)</f>
        <v>0</v>
      </c>
      <c r="O42" s="19">
        <f>SUM(O43:O53)</f>
        <v>0</v>
      </c>
      <c r="P42" s="19">
        <f t="shared" ref="P42:P43" si="119">R42+S42</f>
        <v>340400.7</v>
      </c>
      <c r="Q42" s="19">
        <f>P42*100/E42</f>
        <v>90.94328079080951</v>
      </c>
      <c r="R42" s="19">
        <f t="shared" ref="R42:R43" si="120">F42-J42-N42</f>
        <v>0</v>
      </c>
      <c r="S42" s="19">
        <f t="shared" ref="S42:S43" si="121">G42-K42-O42</f>
        <v>340400.7</v>
      </c>
    </row>
    <row r="43" spans="1:19" ht="33" customHeight="1" x14ac:dyDescent="0.5">
      <c r="A43" s="9">
        <v>30</v>
      </c>
      <c r="B43" s="11" t="str">
        <f>[9]รายการสรุป!$E$5</f>
        <v>ซ่อมแซมระบบส่งน้ำอ่างเก็บน้ำแม่สัน(เหมืองบ้านทุ่งเกวียน)โครงการชลประทานลำปาง ต.แม่สัน อ.ห้างฉัตร จ.ลำปาง</v>
      </c>
      <c r="C43" s="56" t="str">
        <f>[9]รายการสรุป!$I$5</f>
        <v>0700349052410478</v>
      </c>
      <c r="D43" s="64" t="s">
        <v>32</v>
      </c>
      <c r="E43" s="54">
        <f t="shared" ref="E43" si="122">F43+G43</f>
        <v>83000</v>
      </c>
      <c r="F43" s="54">
        <v>0</v>
      </c>
      <c r="G43" s="55">
        <f>[9]รายการสรุป!$J$5</f>
        <v>83000</v>
      </c>
      <c r="H43" s="54">
        <f t="shared" ref="H43" si="123">J43+K43</f>
        <v>0</v>
      </c>
      <c r="I43" s="54">
        <f t="shared" ref="I43" si="124">H43*100/E43</f>
        <v>0</v>
      </c>
      <c r="J43" s="54">
        <v>0</v>
      </c>
      <c r="K43" s="54"/>
      <c r="L43" s="54">
        <f t="shared" ref="L43" si="125">N43+O43</f>
        <v>0</v>
      </c>
      <c r="M43" s="54">
        <f t="shared" ref="M43" si="126">L43*100/E43</f>
        <v>0</v>
      </c>
      <c r="N43" s="54">
        <v>0</v>
      </c>
      <c r="O43" s="54">
        <v>0</v>
      </c>
      <c r="P43" s="54">
        <f t="shared" si="119"/>
        <v>83000</v>
      </c>
      <c r="Q43" s="54">
        <f t="shared" ref="Q43" si="127">P43*100/E43</f>
        <v>100</v>
      </c>
      <c r="R43" s="54">
        <f t="shared" si="120"/>
        <v>0</v>
      </c>
      <c r="S43" s="54">
        <f t="shared" si="121"/>
        <v>83000</v>
      </c>
    </row>
    <row r="44" spans="1:19" ht="33" customHeight="1" x14ac:dyDescent="0.5">
      <c r="A44" s="9">
        <v>31</v>
      </c>
      <c r="B44" s="11" t="str">
        <f>[9]รายการสรุป!$E$6</f>
        <v>ซ่อมแซมระบบส่งน้ำฝั่งขวาอ่างเก็บน้ำแม่ค่อมโครงการชลประทานลำปาง ต.บ้านเอื้อม อ.เมือง จ.ลำปาง</v>
      </c>
      <c r="C44" s="56" t="str">
        <f>[9]รายการสรุป!$I$6</f>
        <v>0700349052410479</v>
      </c>
      <c r="D44" s="64" t="s">
        <v>32</v>
      </c>
      <c r="E44" s="54">
        <f t="shared" ref="E44:E53" si="128">F44+G44</f>
        <v>56700</v>
      </c>
      <c r="F44" s="54">
        <v>0</v>
      </c>
      <c r="G44" s="55">
        <f>[9]รายการสรุป!$J$6</f>
        <v>56700</v>
      </c>
      <c r="H44" s="54">
        <f t="shared" ref="H44:H53" si="129">J44+K44</f>
        <v>33899.300000000003</v>
      </c>
      <c r="I44" s="54">
        <f t="shared" ref="I44:I53" si="130">H44*100/E44</f>
        <v>59.787125220458563</v>
      </c>
      <c r="J44" s="54">
        <v>0</v>
      </c>
      <c r="K44" s="54">
        <f>8153.3+25746</f>
        <v>33899.300000000003</v>
      </c>
      <c r="L44" s="54">
        <f t="shared" ref="L44:L53" si="131">N44+O44</f>
        <v>0</v>
      </c>
      <c r="M44" s="54">
        <f t="shared" ref="M44:M53" si="132">L44*100/E44</f>
        <v>0</v>
      </c>
      <c r="N44" s="54">
        <v>0</v>
      </c>
      <c r="O44" s="54">
        <v>0</v>
      </c>
      <c r="P44" s="54">
        <f t="shared" ref="P44:P54" si="133">R44+S44</f>
        <v>22800.699999999997</v>
      </c>
      <c r="Q44" s="54">
        <f t="shared" ref="Q44:Q53" si="134">P44*100/E44</f>
        <v>40.212874779541437</v>
      </c>
      <c r="R44" s="54">
        <f t="shared" ref="R44:R54" si="135">F44-J44-N44</f>
        <v>0</v>
      </c>
      <c r="S44" s="54">
        <f t="shared" ref="S44:S54" si="136">G44-K44-O44</f>
        <v>22800.699999999997</v>
      </c>
    </row>
    <row r="45" spans="1:19" ht="29.25" customHeight="1" x14ac:dyDescent="0.5">
      <c r="A45" s="9">
        <v>32</v>
      </c>
      <c r="B45" s="11" t="str">
        <f>[9]รายการสรุป!$E$7</f>
        <v>ซ่อมแซมอาคารบังคับน้ำอ่างเก็บน้ำห้วยแม่หยวกโครงการชลประทานลำปาง ต.ปงดอน อ.แจ้ห่ม จ.ลำปาง</v>
      </c>
      <c r="C45" s="56" t="str">
        <f>[9]รายการสรุป!$I$7</f>
        <v>0700349052410481</v>
      </c>
      <c r="D45" s="64" t="s">
        <v>32</v>
      </c>
      <c r="E45" s="54">
        <f t="shared" si="128"/>
        <v>3800</v>
      </c>
      <c r="F45" s="54">
        <v>0</v>
      </c>
      <c r="G45" s="55">
        <f>[9]รายการสรุป!$J$7</f>
        <v>3800</v>
      </c>
      <c r="H45" s="54">
        <f t="shared" si="129"/>
        <v>0</v>
      </c>
      <c r="I45" s="54">
        <f t="shared" si="130"/>
        <v>0</v>
      </c>
      <c r="J45" s="54">
        <v>0</v>
      </c>
      <c r="K45" s="54"/>
      <c r="L45" s="54">
        <f t="shared" si="131"/>
        <v>0</v>
      </c>
      <c r="M45" s="54">
        <f t="shared" si="132"/>
        <v>0</v>
      </c>
      <c r="N45" s="54">
        <v>0</v>
      </c>
      <c r="O45" s="54">
        <v>0</v>
      </c>
      <c r="P45" s="54">
        <f t="shared" si="133"/>
        <v>3800</v>
      </c>
      <c r="Q45" s="54">
        <f t="shared" si="134"/>
        <v>100</v>
      </c>
      <c r="R45" s="54">
        <f t="shared" si="135"/>
        <v>0</v>
      </c>
      <c r="S45" s="54">
        <f t="shared" si="136"/>
        <v>3800</v>
      </c>
    </row>
    <row r="46" spans="1:19" ht="29.25" customHeight="1" x14ac:dyDescent="0.5">
      <c r="A46" s="9">
        <v>33</v>
      </c>
      <c r="B46" s="11" t="str">
        <f>[9]รายการสรุป!$E$8</f>
        <v>ซ่อมแซมอาคารบังคับน้ำอ่างเก็บน้ำห้วยส้มโครงการชลประทานลำปาง ต.บ้านแหง อ.งาว จ.ลำปาง</v>
      </c>
      <c r="C46" s="56" t="str">
        <f>[9]รายการสรุป!$I$8</f>
        <v>0700349052410482</v>
      </c>
      <c r="D46" s="64" t="s">
        <v>32</v>
      </c>
      <c r="E46" s="54">
        <f t="shared" si="128"/>
        <v>1500</v>
      </c>
      <c r="F46" s="54">
        <v>0</v>
      </c>
      <c r="G46" s="55">
        <f>[9]รายการสรุป!$J$8</f>
        <v>1500</v>
      </c>
      <c r="H46" s="54">
        <f t="shared" si="129"/>
        <v>0</v>
      </c>
      <c r="I46" s="54">
        <f t="shared" si="130"/>
        <v>0</v>
      </c>
      <c r="J46" s="54">
        <v>0</v>
      </c>
      <c r="K46" s="54"/>
      <c r="L46" s="54">
        <f t="shared" si="131"/>
        <v>0</v>
      </c>
      <c r="M46" s="54">
        <f t="shared" si="132"/>
        <v>0</v>
      </c>
      <c r="N46" s="54">
        <v>0</v>
      </c>
      <c r="O46" s="54">
        <v>0</v>
      </c>
      <c r="P46" s="54">
        <f t="shared" si="133"/>
        <v>1500</v>
      </c>
      <c r="Q46" s="54">
        <f t="shared" si="134"/>
        <v>100</v>
      </c>
      <c r="R46" s="54">
        <f t="shared" si="135"/>
        <v>0</v>
      </c>
      <c r="S46" s="54">
        <f t="shared" si="136"/>
        <v>1500</v>
      </c>
    </row>
    <row r="47" spans="1:19" ht="33.75" customHeight="1" x14ac:dyDescent="0.5">
      <c r="A47" s="9">
        <v>34</v>
      </c>
      <c r="B47" s="11" t="str">
        <f>[9]รายการสรุป!$E$9</f>
        <v>ซ่อมแซมคลองส่งน้ำอ่างเก็บน้ำแม่สัน(เหมืองฝายต้นต้อง)โครงการชลประทานลำปาง ต.แม่สัน อ.ห้างฉัตร จ.ลำปาง</v>
      </c>
      <c r="C47" s="56" t="str">
        <f>[9]รายการสรุป!$I$9</f>
        <v>0700349052410483</v>
      </c>
      <c r="D47" s="64" t="s">
        <v>32</v>
      </c>
      <c r="E47" s="54">
        <f t="shared" si="128"/>
        <v>62000</v>
      </c>
      <c r="F47" s="54">
        <v>0</v>
      </c>
      <c r="G47" s="55">
        <f>[9]รายการสรุป!$J$9</f>
        <v>62000</v>
      </c>
      <c r="H47" s="54">
        <f t="shared" si="129"/>
        <v>0</v>
      </c>
      <c r="I47" s="54">
        <f t="shared" si="130"/>
        <v>0</v>
      </c>
      <c r="J47" s="54">
        <v>0</v>
      </c>
      <c r="K47" s="54"/>
      <c r="L47" s="54">
        <f t="shared" si="131"/>
        <v>0</v>
      </c>
      <c r="M47" s="54">
        <f t="shared" si="132"/>
        <v>0</v>
      </c>
      <c r="N47" s="54">
        <v>0</v>
      </c>
      <c r="O47" s="54">
        <v>0</v>
      </c>
      <c r="P47" s="54">
        <f t="shared" si="133"/>
        <v>62000</v>
      </c>
      <c r="Q47" s="54">
        <f t="shared" si="134"/>
        <v>100</v>
      </c>
      <c r="R47" s="54">
        <f t="shared" si="135"/>
        <v>0</v>
      </c>
      <c r="S47" s="54">
        <f t="shared" si="136"/>
        <v>62000</v>
      </c>
    </row>
    <row r="48" spans="1:19" ht="30" customHeight="1" x14ac:dyDescent="0.5">
      <c r="A48" s="9">
        <v>35</v>
      </c>
      <c r="B48" s="11" t="str">
        <f>[9]รายการสรุป!$E$10</f>
        <v>ซ่อมแซมคลองส่งน้ำซอยทุ่งพร้าวอ่างเก็บน้ำห้วยเป้งโครงการชลประทานลำปาง ต.ทุ่งกว๋าว อ.เมืองปาน จ.ลำปาง</v>
      </c>
      <c r="C48" s="56" t="str">
        <f>[9]รายการสรุป!$I$10</f>
        <v>0700349052410484</v>
      </c>
      <c r="D48" s="64" t="s">
        <v>32</v>
      </c>
      <c r="E48" s="54">
        <f t="shared" si="128"/>
        <v>13000</v>
      </c>
      <c r="F48" s="54">
        <v>0</v>
      </c>
      <c r="G48" s="55">
        <f>[9]รายการสรุป!$J$10</f>
        <v>13000</v>
      </c>
      <c r="H48" s="54">
        <f t="shared" si="129"/>
        <v>0</v>
      </c>
      <c r="I48" s="54">
        <f t="shared" si="130"/>
        <v>0</v>
      </c>
      <c r="J48" s="54">
        <v>0</v>
      </c>
      <c r="K48" s="54"/>
      <c r="L48" s="54">
        <f t="shared" si="131"/>
        <v>0</v>
      </c>
      <c r="M48" s="54">
        <f t="shared" si="132"/>
        <v>0</v>
      </c>
      <c r="N48" s="54">
        <v>0</v>
      </c>
      <c r="O48" s="54">
        <v>0</v>
      </c>
      <c r="P48" s="54">
        <f t="shared" si="133"/>
        <v>13000</v>
      </c>
      <c r="Q48" s="54">
        <f t="shared" si="134"/>
        <v>100</v>
      </c>
      <c r="R48" s="54">
        <f t="shared" si="135"/>
        <v>0</v>
      </c>
      <c r="S48" s="54">
        <f t="shared" si="136"/>
        <v>13000</v>
      </c>
    </row>
    <row r="49" spans="1:19" ht="33" customHeight="1" x14ac:dyDescent="0.5">
      <c r="A49" s="9">
        <v>36</v>
      </c>
      <c r="B49" s="11" t="str">
        <f>[9]รายการสรุป!$E$11</f>
        <v>ซ่อมแซมระบบท่อส่งน้ำอ่างเก็บน้ำแม่จอกโครงการชลประทานลำปาง ต.เสริมซ้าย อ.เสริมงาม จ.ลำปาง</v>
      </c>
      <c r="C49" s="56" t="str">
        <f>[9]รายการสรุป!$I$11</f>
        <v>0700349052410485</v>
      </c>
      <c r="D49" s="64" t="s">
        <v>32</v>
      </c>
      <c r="E49" s="54">
        <f t="shared" si="128"/>
        <v>14100</v>
      </c>
      <c r="F49" s="54">
        <v>0</v>
      </c>
      <c r="G49" s="55">
        <f>[9]รายการสรุป!$J$11</f>
        <v>14100</v>
      </c>
      <c r="H49" s="54">
        <f t="shared" si="129"/>
        <v>0</v>
      </c>
      <c r="I49" s="54">
        <f t="shared" si="130"/>
        <v>0</v>
      </c>
      <c r="J49" s="54">
        <v>0</v>
      </c>
      <c r="K49" s="54"/>
      <c r="L49" s="54">
        <f t="shared" si="131"/>
        <v>0</v>
      </c>
      <c r="M49" s="54">
        <f t="shared" si="132"/>
        <v>0</v>
      </c>
      <c r="N49" s="54">
        <v>0</v>
      </c>
      <c r="O49" s="54">
        <v>0</v>
      </c>
      <c r="P49" s="54">
        <f t="shared" si="133"/>
        <v>14100</v>
      </c>
      <c r="Q49" s="54">
        <f t="shared" si="134"/>
        <v>100</v>
      </c>
      <c r="R49" s="54">
        <f t="shared" si="135"/>
        <v>0</v>
      </c>
      <c r="S49" s="54">
        <f t="shared" si="136"/>
        <v>14100</v>
      </c>
    </row>
    <row r="50" spans="1:19" ht="33" customHeight="1" x14ac:dyDescent="0.5">
      <c r="A50" s="9">
        <v>37</v>
      </c>
      <c r="B50" s="11" t="str">
        <f>[9]รายการสรุป!$E$12</f>
        <v>ซ่อมแซมระบบส่งน้ำแม่ตา LMCอ่างเก็บน้ำแม่ตา โครงการชลประทานลำปาง ต.ปงดอน อ.แจ้ห่ม จ.ลำปาง</v>
      </c>
      <c r="C50" s="56" t="str">
        <f>[9]รายการสรุป!$I$12</f>
        <v>0700349052410486</v>
      </c>
      <c r="D50" s="64" t="s">
        <v>32</v>
      </c>
      <c r="E50" s="54">
        <f t="shared" si="128"/>
        <v>15000</v>
      </c>
      <c r="F50" s="54">
        <v>0</v>
      </c>
      <c r="G50" s="55">
        <f>[9]รายการสรุป!$J$12</f>
        <v>15000</v>
      </c>
      <c r="H50" s="54">
        <f t="shared" si="129"/>
        <v>0</v>
      </c>
      <c r="I50" s="54">
        <f t="shared" si="130"/>
        <v>0</v>
      </c>
      <c r="J50" s="54">
        <v>0</v>
      </c>
      <c r="K50" s="54"/>
      <c r="L50" s="54">
        <f t="shared" si="131"/>
        <v>0</v>
      </c>
      <c r="M50" s="54">
        <f t="shared" si="132"/>
        <v>0</v>
      </c>
      <c r="N50" s="54">
        <v>0</v>
      </c>
      <c r="O50" s="54">
        <v>0</v>
      </c>
      <c r="P50" s="54">
        <f t="shared" si="133"/>
        <v>15000</v>
      </c>
      <c r="Q50" s="54">
        <f t="shared" si="134"/>
        <v>100</v>
      </c>
      <c r="R50" s="54">
        <f t="shared" si="135"/>
        <v>0</v>
      </c>
      <c r="S50" s="54">
        <f t="shared" si="136"/>
        <v>15000</v>
      </c>
    </row>
    <row r="51" spans="1:19" ht="33" customHeight="1" x14ac:dyDescent="0.5">
      <c r="A51" s="9">
        <v>38</v>
      </c>
      <c r="B51" s="11" t="str">
        <f>[9]รายการสรุป!$E$13</f>
        <v>ซ่อมแซมคลองส่งน้ำทุ่งนาใหม่อ่างเก็บน้ำห้วยเป้งโครงการชลประทานลำปาง ต.ทุ่งกว๋าว อ.เมืองปาน จ.ลำปาง</v>
      </c>
      <c r="C51" s="56" t="str">
        <f>[9]รายการสรุป!$I$13</f>
        <v>0700349052410487</v>
      </c>
      <c r="D51" s="64" t="s">
        <v>32</v>
      </c>
      <c r="E51" s="54">
        <f t="shared" si="128"/>
        <v>35000</v>
      </c>
      <c r="F51" s="54">
        <v>0</v>
      </c>
      <c r="G51" s="55">
        <f>[9]รายการสรุป!$J$13</f>
        <v>35000</v>
      </c>
      <c r="H51" s="54">
        <f t="shared" si="129"/>
        <v>0</v>
      </c>
      <c r="I51" s="54">
        <f t="shared" si="130"/>
        <v>0</v>
      </c>
      <c r="J51" s="54">
        <v>0</v>
      </c>
      <c r="K51" s="54"/>
      <c r="L51" s="54">
        <f t="shared" si="131"/>
        <v>0</v>
      </c>
      <c r="M51" s="54">
        <f t="shared" si="132"/>
        <v>0</v>
      </c>
      <c r="N51" s="54">
        <v>0</v>
      </c>
      <c r="O51" s="54">
        <v>0</v>
      </c>
      <c r="P51" s="54">
        <f t="shared" si="133"/>
        <v>35000</v>
      </c>
      <c r="Q51" s="54">
        <f t="shared" si="134"/>
        <v>100</v>
      </c>
      <c r="R51" s="54">
        <f t="shared" si="135"/>
        <v>0</v>
      </c>
      <c r="S51" s="54">
        <f t="shared" si="136"/>
        <v>35000</v>
      </c>
    </row>
    <row r="52" spans="1:19" ht="33" customHeight="1" x14ac:dyDescent="0.5">
      <c r="A52" s="9">
        <v>39</v>
      </c>
      <c r="B52" s="11" t="str">
        <f>[9]รายการสรุป!$E$14</f>
        <v>ซ่อมแซมระบบส่งน้ำฝายห้วยหลวง(อ่างเก็บน้ำห้วยหลวง)โครงการชลประทานลำปาง ต.สบปราบ อ.สบปราบ จ.ลำปาง</v>
      </c>
      <c r="C52" s="56" t="str">
        <f>[9]รายการสรุป!$I$14</f>
        <v>0700349052410488</v>
      </c>
      <c r="D52" s="64" t="s">
        <v>32</v>
      </c>
      <c r="E52" s="54">
        <f t="shared" si="128"/>
        <v>34200</v>
      </c>
      <c r="F52" s="54">
        <v>0</v>
      </c>
      <c r="G52" s="55">
        <f>[9]รายการสรุป!$J$14</f>
        <v>34200</v>
      </c>
      <c r="H52" s="54">
        <f t="shared" si="129"/>
        <v>0</v>
      </c>
      <c r="I52" s="54">
        <f t="shared" si="130"/>
        <v>0</v>
      </c>
      <c r="J52" s="54">
        <v>0</v>
      </c>
      <c r="K52" s="54"/>
      <c r="L52" s="54">
        <f t="shared" si="131"/>
        <v>0</v>
      </c>
      <c r="M52" s="54">
        <f t="shared" si="132"/>
        <v>0</v>
      </c>
      <c r="N52" s="54">
        <v>0</v>
      </c>
      <c r="O52" s="54">
        <v>0</v>
      </c>
      <c r="P52" s="54">
        <f t="shared" si="133"/>
        <v>34200</v>
      </c>
      <c r="Q52" s="54">
        <f t="shared" si="134"/>
        <v>100</v>
      </c>
      <c r="R52" s="54">
        <f t="shared" si="135"/>
        <v>0</v>
      </c>
      <c r="S52" s="54">
        <f t="shared" si="136"/>
        <v>34200</v>
      </c>
    </row>
    <row r="53" spans="1:19" ht="29.25" customHeight="1" x14ac:dyDescent="0.5">
      <c r="A53" s="9">
        <v>40</v>
      </c>
      <c r="B53" s="11" t="str">
        <f>[9]รายการสรุป!$E$15</f>
        <v>ซ่อมแซมระบบส่งน้ำทุ่งแอดระยะที่ 1โครงการชลประทานลำปาง ต.บ้านขอ อ.เมืองปาน จ.ลำปาง</v>
      </c>
      <c r="C53" s="56" t="str">
        <f>[9]รายการสรุป!$I$15</f>
        <v>0700349052410489</v>
      </c>
      <c r="D53" s="64" t="s">
        <v>32</v>
      </c>
      <c r="E53" s="54">
        <f t="shared" si="128"/>
        <v>56000</v>
      </c>
      <c r="F53" s="54">
        <v>0</v>
      </c>
      <c r="G53" s="55">
        <f>[9]รายการสรุป!$J$15</f>
        <v>56000</v>
      </c>
      <c r="H53" s="54">
        <f t="shared" si="129"/>
        <v>0</v>
      </c>
      <c r="I53" s="54">
        <f t="shared" si="130"/>
        <v>0</v>
      </c>
      <c r="J53" s="54">
        <v>0</v>
      </c>
      <c r="K53" s="54"/>
      <c r="L53" s="54">
        <f t="shared" si="131"/>
        <v>0</v>
      </c>
      <c r="M53" s="54">
        <f t="shared" si="132"/>
        <v>0</v>
      </c>
      <c r="N53" s="54">
        <v>0</v>
      </c>
      <c r="O53" s="54">
        <v>0</v>
      </c>
      <c r="P53" s="54">
        <f t="shared" si="133"/>
        <v>56000</v>
      </c>
      <c r="Q53" s="54">
        <f t="shared" si="134"/>
        <v>100</v>
      </c>
      <c r="R53" s="54">
        <f t="shared" si="135"/>
        <v>0</v>
      </c>
      <c r="S53" s="54">
        <f t="shared" si="136"/>
        <v>56000</v>
      </c>
    </row>
    <row r="54" spans="1:19" ht="31.5" customHeight="1" x14ac:dyDescent="0.5">
      <c r="A54" s="9"/>
      <c r="B54" s="18" t="s">
        <v>27</v>
      </c>
      <c r="C54" s="18"/>
      <c r="D54" s="24"/>
      <c r="E54" s="19">
        <f>F54+G54</f>
        <v>588200</v>
      </c>
      <c r="F54" s="19">
        <f>SUM(F55:F73)</f>
        <v>0</v>
      </c>
      <c r="G54" s="19">
        <f>SUM(G55:G73)</f>
        <v>588200</v>
      </c>
      <c r="H54" s="19">
        <f>J54+K54</f>
        <v>0</v>
      </c>
      <c r="I54" s="19">
        <f>H54*100/E54</f>
        <v>0</v>
      </c>
      <c r="J54" s="19">
        <f>SUM(J55:J73)</f>
        <v>0</v>
      </c>
      <c r="K54" s="19">
        <f>SUM(K55:K73)</f>
        <v>0</v>
      </c>
      <c r="L54" s="19">
        <f>N54+O54</f>
        <v>0</v>
      </c>
      <c r="M54" s="19">
        <f>L54*100/E54</f>
        <v>0</v>
      </c>
      <c r="N54" s="19">
        <f>SUM(N55:N73)</f>
        <v>0</v>
      </c>
      <c r="O54" s="19">
        <f>SUM(O55:O73)</f>
        <v>0</v>
      </c>
      <c r="P54" s="19">
        <f t="shared" si="133"/>
        <v>588200</v>
      </c>
      <c r="Q54" s="19">
        <f>P54*100/E54</f>
        <v>100</v>
      </c>
      <c r="R54" s="19">
        <f t="shared" si="135"/>
        <v>0</v>
      </c>
      <c r="S54" s="19">
        <f t="shared" si="136"/>
        <v>588200</v>
      </c>
    </row>
    <row r="55" spans="1:19" ht="30.75" customHeight="1" x14ac:dyDescent="0.5">
      <c r="A55" s="9">
        <v>41</v>
      </c>
      <c r="B55" s="11" t="str">
        <f>[10]รายการสรุป!$E$5</f>
        <v>ซ่อมแซมคลองส่งน้ำอ่างเก็บน้ำแม่ใจโครงการชลประทานพะเยา ต.เจริญราษฎร์ อ.แม่ใจ จ.พะเยา</v>
      </c>
      <c r="C55" s="56" t="str">
        <f>[10]รายการสรุป!$I$5</f>
        <v>0700349052410457</v>
      </c>
      <c r="D55" s="64" t="s">
        <v>32</v>
      </c>
      <c r="E55" s="54">
        <f t="shared" ref="E55" si="137">F55+G55</f>
        <v>39000</v>
      </c>
      <c r="F55" s="54">
        <v>0</v>
      </c>
      <c r="G55" s="55">
        <f>[10]รายการสรุป!$J$5</f>
        <v>39000</v>
      </c>
      <c r="H55" s="54">
        <f t="shared" ref="H55" si="138">J55+K55</f>
        <v>0</v>
      </c>
      <c r="I55" s="54">
        <f t="shared" ref="I55" si="139">H55*100/E55</f>
        <v>0</v>
      </c>
      <c r="J55" s="54">
        <v>0</v>
      </c>
      <c r="K55" s="54"/>
      <c r="L55" s="54">
        <f t="shared" ref="L55" si="140">N55+O55</f>
        <v>0</v>
      </c>
      <c r="M55" s="54">
        <f t="shared" ref="M55" si="141">L55*100/E55</f>
        <v>0</v>
      </c>
      <c r="N55" s="54">
        <v>0</v>
      </c>
      <c r="O55" s="54">
        <v>0</v>
      </c>
      <c r="P55" s="54">
        <f t="shared" ref="P55" si="142">R55+S55</f>
        <v>39000</v>
      </c>
      <c r="Q55" s="54">
        <f t="shared" ref="Q55" si="143">P55*100/E55</f>
        <v>100</v>
      </c>
      <c r="R55" s="54">
        <f t="shared" ref="R55" si="144">F55-J55-N55</f>
        <v>0</v>
      </c>
      <c r="S55" s="54">
        <f t="shared" ref="S55" si="145">G55-K55-O55</f>
        <v>39000</v>
      </c>
    </row>
    <row r="56" spans="1:19" ht="30.75" customHeight="1" x14ac:dyDescent="0.5">
      <c r="A56" s="9">
        <v>42</v>
      </c>
      <c r="B56" s="11" t="str">
        <f>[10]รายการสรุป!$E$6</f>
        <v>ซ่อมแซมระบบสูบน้ำด้วยพลิงน้ำอ่างเก็บน้ำแม่ปืมโครงการชลประทานพะเยา ต.บ้านเหล่า อ.แม่ใจ จ.พะเยา</v>
      </c>
      <c r="C56" s="56" t="str">
        <f>[10]รายการสรุป!$I$6</f>
        <v>0700349052410458</v>
      </c>
      <c r="D56" s="64" t="s">
        <v>32</v>
      </c>
      <c r="E56" s="54">
        <f t="shared" ref="E56:E73" si="146">F56+G56</f>
        <v>22300</v>
      </c>
      <c r="F56" s="54">
        <v>0</v>
      </c>
      <c r="G56" s="55">
        <f>[10]รายการสรุป!$J$6</f>
        <v>22300</v>
      </c>
      <c r="H56" s="54">
        <f t="shared" ref="H56:H73" si="147">J56+K56</f>
        <v>0</v>
      </c>
      <c r="I56" s="54">
        <f t="shared" ref="I56:I73" si="148">H56*100/E56</f>
        <v>0</v>
      </c>
      <c r="J56" s="54">
        <v>0</v>
      </c>
      <c r="K56" s="54"/>
      <c r="L56" s="54">
        <f t="shared" ref="L56:L73" si="149">N56+O56</f>
        <v>0</v>
      </c>
      <c r="M56" s="54">
        <f t="shared" ref="M56:M73" si="150">L56*100/E56</f>
        <v>0</v>
      </c>
      <c r="N56" s="54">
        <v>0</v>
      </c>
      <c r="O56" s="54">
        <v>0</v>
      </c>
      <c r="P56" s="54">
        <f t="shared" ref="P56:P74" si="151">R56+S56</f>
        <v>22300</v>
      </c>
      <c r="Q56" s="54">
        <f t="shared" ref="Q56:Q73" si="152">P56*100/E56</f>
        <v>100</v>
      </c>
      <c r="R56" s="54">
        <f t="shared" ref="R56:R74" si="153">F56-J56-N56</f>
        <v>0</v>
      </c>
      <c r="S56" s="54">
        <f t="shared" ref="S56:S74" si="154">G56-K56-O56</f>
        <v>22300</v>
      </c>
    </row>
    <row r="57" spans="1:19" ht="30.75" customHeight="1" x14ac:dyDescent="0.5">
      <c r="A57" s="9">
        <v>43</v>
      </c>
      <c r="B57" s="11" t="str">
        <f>[10]รายการสรุป!$E$7</f>
        <v>ซ่อมแซมคลองส่งน้ำสาย1L-LMCอ่างเก็บน้ำห้วยซ้ายโครงการชลประทานพะเยา ต.ทุ่งกล้วย อ.ภูซาง จ.พะเยา</v>
      </c>
      <c r="C57" s="56" t="str">
        <f>[10]รายการสรุป!$I$7</f>
        <v>0700349052410459</v>
      </c>
      <c r="D57" s="64" t="s">
        <v>32</v>
      </c>
      <c r="E57" s="54">
        <f t="shared" si="146"/>
        <v>13800</v>
      </c>
      <c r="F57" s="54">
        <v>0</v>
      </c>
      <c r="G57" s="55">
        <f>[10]รายการสรุป!$J$7</f>
        <v>13800</v>
      </c>
      <c r="H57" s="54">
        <f t="shared" si="147"/>
        <v>0</v>
      </c>
      <c r="I57" s="54">
        <f t="shared" si="148"/>
        <v>0</v>
      </c>
      <c r="J57" s="54">
        <v>0</v>
      </c>
      <c r="K57" s="54"/>
      <c r="L57" s="54">
        <f t="shared" si="149"/>
        <v>0</v>
      </c>
      <c r="M57" s="54">
        <f t="shared" si="150"/>
        <v>0</v>
      </c>
      <c r="N57" s="54">
        <v>0</v>
      </c>
      <c r="O57" s="54">
        <v>0</v>
      </c>
      <c r="P57" s="54">
        <f t="shared" si="151"/>
        <v>13800</v>
      </c>
      <c r="Q57" s="54">
        <f t="shared" si="152"/>
        <v>100</v>
      </c>
      <c r="R57" s="54">
        <f t="shared" si="153"/>
        <v>0</v>
      </c>
      <c r="S57" s="54">
        <f t="shared" si="154"/>
        <v>13800</v>
      </c>
    </row>
    <row r="58" spans="1:19" ht="45.75" customHeight="1" x14ac:dyDescent="0.5">
      <c r="A58" s="9">
        <v>44</v>
      </c>
      <c r="B58" s="11" t="str">
        <f>[10]รายการสรุป!$E$8</f>
        <v>ซ่อมแซมหินเรียงป้องกันการกักเซาะตอม่อสะพานน้ำสาย LMCและ RMCโครงการชลประทานพะเยา ต.จุน อ.จุน จ.พะเยา</v>
      </c>
      <c r="C58" s="56" t="str">
        <f>[10]รายการสรุป!$I$8</f>
        <v>0700349052410460</v>
      </c>
      <c r="D58" s="64" t="s">
        <v>32</v>
      </c>
      <c r="E58" s="54">
        <f t="shared" si="146"/>
        <v>46600</v>
      </c>
      <c r="F58" s="54">
        <v>0</v>
      </c>
      <c r="G58" s="55">
        <f>[11]รายการสรุป!$J$8</f>
        <v>46600</v>
      </c>
      <c r="H58" s="54">
        <f t="shared" si="147"/>
        <v>0</v>
      </c>
      <c r="I58" s="54">
        <f t="shared" si="148"/>
        <v>0</v>
      </c>
      <c r="J58" s="54">
        <v>0</v>
      </c>
      <c r="K58" s="54"/>
      <c r="L58" s="54">
        <f t="shared" si="149"/>
        <v>0</v>
      </c>
      <c r="M58" s="54">
        <f t="shared" si="150"/>
        <v>0</v>
      </c>
      <c r="N58" s="54">
        <v>0</v>
      </c>
      <c r="O58" s="54">
        <v>0</v>
      </c>
      <c r="P58" s="54">
        <f t="shared" si="151"/>
        <v>46600</v>
      </c>
      <c r="Q58" s="54">
        <f t="shared" si="152"/>
        <v>100</v>
      </c>
      <c r="R58" s="54">
        <f t="shared" si="153"/>
        <v>0</v>
      </c>
      <c r="S58" s="54">
        <f t="shared" si="154"/>
        <v>46600</v>
      </c>
    </row>
    <row r="59" spans="1:19" ht="30.75" customHeight="1" x14ac:dyDescent="0.5">
      <c r="A59" s="9">
        <v>45</v>
      </c>
      <c r="B59" s="11" t="str">
        <f>[10]รายการสรุป!$E$9</f>
        <v>ซ่อมแซมคลองส่งน้ำสายทุ่งขามอ่างเก็บน้ำห้วยไฟโครงการชลประทานพะเยา ต.ป่าสัก อ.ภูซาง จ.พะเยา</v>
      </c>
      <c r="C59" s="56" t="str">
        <f>[10]รายการสรุป!$I$9</f>
        <v>0700349052410461</v>
      </c>
      <c r="D59" s="64" t="s">
        <v>32</v>
      </c>
      <c r="E59" s="54">
        <f t="shared" si="146"/>
        <v>44400</v>
      </c>
      <c r="F59" s="54">
        <v>0</v>
      </c>
      <c r="G59" s="55">
        <f>[10]รายการสรุป!$J$9</f>
        <v>44400</v>
      </c>
      <c r="H59" s="54">
        <f t="shared" si="147"/>
        <v>0</v>
      </c>
      <c r="I59" s="54">
        <f t="shared" si="148"/>
        <v>0</v>
      </c>
      <c r="J59" s="54">
        <v>0</v>
      </c>
      <c r="K59" s="54"/>
      <c r="L59" s="54">
        <f t="shared" si="149"/>
        <v>0</v>
      </c>
      <c r="M59" s="54">
        <f t="shared" si="150"/>
        <v>0</v>
      </c>
      <c r="N59" s="54">
        <v>0</v>
      </c>
      <c r="O59" s="54">
        <v>0</v>
      </c>
      <c r="P59" s="54">
        <f t="shared" si="151"/>
        <v>44400</v>
      </c>
      <c r="Q59" s="54">
        <f t="shared" si="152"/>
        <v>100</v>
      </c>
      <c r="R59" s="54">
        <f t="shared" si="153"/>
        <v>0</v>
      </c>
      <c r="S59" s="54">
        <f t="shared" si="154"/>
        <v>44400</v>
      </c>
    </row>
    <row r="60" spans="1:19" ht="30.75" customHeight="1" x14ac:dyDescent="0.5">
      <c r="A60" s="9">
        <v>46</v>
      </c>
      <c r="B60" s="11" t="str">
        <f>[10]รายการสรุป!$E$10</f>
        <v>ซ่อมแซมคลองส่งน้ำสายดงกู่และสายห้วยเต๋ยอ่างเก็บน้ำแม่สุกโครงการชลประทานพะเยา ต.แม่สุก อ.แม่ใจ จ.พะเยา</v>
      </c>
      <c r="C60" s="56" t="str">
        <f>[10]รายการสรุป!$I$10</f>
        <v>0700349052410462</v>
      </c>
      <c r="D60" s="64" t="s">
        <v>32</v>
      </c>
      <c r="E60" s="54">
        <f t="shared" si="146"/>
        <v>35000</v>
      </c>
      <c r="F60" s="54">
        <v>0</v>
      </c>
      <c r="G60" s="55">
        <f>[10]รายการสรุป!$J$10</f>
        <v>35000</v>
      </c>
      <c r="H60" s="54">
        <f t="shared" si="147"/>
        <v>0</v>
      </c>
      <c r="I60" s="54">
        <f t="shared" si="148"/>
        <v>0</v>
      </c>
      <c r="J60" s="54">
        <v>0</v>
      </c>
      <c r="K60" s="54"/>
      <c r="L60" s="54">
        <f t="shared" si="149"/>
        <v>0</v>
      </c>
      <c r="M60" s="54">
        <f t="shared" si="150"/>
        <v>0</v>
      </c>
      <c r="N60" s="54">
        <v>0</v>
      </c>
      <c r="O60" s="54">
        <v>0</v>
      </c>
      <c r="P60" s="54">
        <f t="shared" si="151"/>
        <v>35000</v>
      </c>
      <c r="Q60" s="54">
        <f t="shared" si="152"/>
        <v>100</v>
      </c>
      <c r="R60" s="54">
        <f t="shared" si="153"/>
        <v>0</v>
      </c>
      <c r="S60" s="54">
        <f t="shared" si="154"/>
        <v>35000</v>
      </c>
    </row>
    <row r="61" spans="1:19" ht="30.75" customHeight="1" x14ac:dyDescent="0.5">
      <c r="A61" s="9">
        <v>47</v>
      </c>
      <c r="B61" s="11" t="str">
        <f>[10]รายการสรุป!$E$11</f>
        <v>ซ่อมแซมระบบไฟฟ้าสถานีสูบน้ำด้วยไฟฟ้าบ้านเชียงคานโครงการชลประทานพะเยา ต.เชียงบาน อ.เชียงคำ จ.พะเยา</v>
      </c>
      <c r="C61" s="56" t="str">
        <f>[10]รายการสรุป!$I$11</f>
        <v>0700349052410463</v>
      </c>
      <c r="D61" s="64" t="s">
        <v>32</v>
      </c>
      <c r="E61" s="54">
        <f t="shared" si="146"/>
        <v>21000</v>
      </c>
      <c r="F61" s="54">
        <v>0</v>
      </c>
      <c r="G61" s="55">
        <f>[10]รายการสรุป!$J$11</f>
        <v>21000</v>
      </c>
      <c r="H61" s="54">
        <f t="shared" si="147"/>
        <v>0</v>
      </c>
      <c r="I61" s="54">
        <f t="shared" si="148"/>
        <v>0</v>
      </c>
      <c r="J61" s="54">
        <v>0</v>
      </c>
      <c r="K61" s="54"/>
      <c r="L61" s="54">
        <f t="shared" si="149"/>
        <v>0</v>
      </c>
      <c r="M61" s="54">
        <f t="shared" si="150"/>
        <v>0</v>
      </c>
      <c r="N61" s="54">
        <v>0</v>
      </c>
      <c r="O61" s="54">
        <v>0</v>
      </c>
      <c r="P61" s="54">
        <f t="shared" si="151"/>
        <v>21000</v>
      </c>
      <c r="Q61" s="54">
        <f t="shared" si="152"/>
        <v>100</v>
      </c>
      <c r="R61" s="54">
        <f t="shared" si="153"/>
        <v>0</v>
      </c>
      <c r="S61" s="54">
        <f t="shared" si="154"/>
        <v>21000</v>
      </c>
    </row>
    <row r="62" spans="1:19" ht="30.75" customHeight="1" x14ac:dyDescent="0.5">
      <c r="A62" s="9">
        <v>48</v>
      </c>
      <c r="B62" s="11" t="str">
        <f>[10]รายการสรุป!$E$12</f>
        <v>ซ่อมแซมคลองส่งน้ำสาย5R-RMCอ่างเก็บน้ำห้วยสาโครงการชลประทานพะเยา ต.ร่มเย็น อ.เชียงคำ จ.พะเยา</v>
      </c>
      <c r="C62" s="56" t="str">
        <f>[10]รายการสรุป!$I$12</f>
        <v>0700349052410464</v>
      </c>
      <c r="D62" s="64" t="s">
        <v>32</v>
      </c>
      <c r="E62" s="54">
        <f t="shared" si="146"/>
        <v>14100</v>
      </c>
      <c r="F62" s="54">
        <v>0</v>
      </c>
      <c r="G62" s="55">
        <f>[10]รายการสรุป!$J$12</f>
        <v>14100</v>
      </c>
      <c r="H62" s="54">
        <f t="shared" si="147"/>
        <v>0</v>
      </c>
      <c r="I62" s="54">
        <f t="shared" si="148"/>
        <v>0</v>
      </c>
      <c r="J62" s="54">
        <v>0</v>
      </c>
      <c r="K62" s="54"/>
      <c r="L62" s="54">
        <f t="shared" si="149"/>
        <v>0</v>
      </c>
      <c r="M62" s="54">
        <f t="shared" si="150"/>
        <v>0</v>
      </c>
      <c r="N62" s="54">
        <v>0</v>
      </c>
      <c r="O62" s="54">
        <v>0</v>
      </c>
      <c r="P62" s="54">
        <f t="shared" si="151"/>
        <v>14100</v>
      </c>
      <c r="Q62" s="54">
        <f t="shared" si="152"/>
        <v>100</v>
      </c>
      <c r="R62" s="54">
        <f t="shared" si="153"/>
        <v>0</v>
      </c>
      <c r="S62" s="54">
        <f t="shared" si="154"/>
        <v>14100</v>
      </c>
    </row>
    <row r="63" spans="1:19" ht="50.25" customHeight="1" x14ac:dyDescent="0.5">
      <c r="A63" s="9">
        <v>49</v>
      </c>
      <c r="B63" s="11" t="str">
        <f>[10]รายการสรุป!$E$13</f>
        <v>ซ่อมแซมคอนกรีตดาดรับน้ำหน้าอาคารทางระบายน้ำล้นอ่างเก็บน้ำน้ำจุน โครงการชลประทานพะเยา ต.จุน อ.จุน จ.พะเยา</v>
      </c>
      <c r="C63" s="56" t="str">
        <f>[10]รายการสรุป!$I$13</f>
        <v>0700349052410465</v>
      </c>
      <c r="D63" s="64" t="s">
        <v>32</v>
      </c>
      <c r="E63" s="54">
        <f t="shared" si="146"/>
        <v>46000</v>
      </c>
      <c r="F63" s="54">
        <v>0</v>
      </c>
      <c r="G63" s="55">
        <f>[10]รายการสรุป!$J$13</f>
        <v>46000</v>
      </c>
      <c r="H63" s="54">
        <f t="shared" si="147"/>
        <v>0</v>
      </c>
      <c r="I63" s="54">
        <f t="shared" si="148"/>
        <v>0</v>
      </c>
      <c r="J63" s="54">
        <v>0</v>
      </c>
      <c r="K63" s="54"/>
      <c r="L63" s="54">
        <f t="shared" si="149"/>
        <v>0</v>
      </c>
      <c r="M63" s="54">
        <f t="shared" si="150"/>
        <v>0</v>
      </c>
      <c r="N63" s="54">
        <v>0</v>
      </c>
      <c r="O63" s="54">
        <v>0</v>
      </c>
      <c r="P63" s="54">
        <f t="shared" si="151"/>
        <v>46000</v>
      </c>
      <c r="Q63" s="54">
        <f t="shared" si="152"/>
        <v>100</v>
      </c>
      <c r="R63" s="54">
        <f t="shared" si="153"/>
        <v>0</v>
      </c>
      <c r="S63" s="54">
        <f t="shared" si="154"/>
        <v>46000</v>
      </c>
    </row>
    <row r="64" spans="1:19" ht="30.75" customHeight="1" x14ac:dyDescent="0.5">
      <c r="A64" s="9">
        <v>50</v>
      </c>
      <c r="B64" s="11" t="str">
        <f>[10]รายการสรุป!$E$14</f>
        <v>ซ่อมแซมคลองส่งน้ำสายทุ่งลาวอ่างเก็บน้ำห้วยบงโครงการชลประทานพะเยา ต.ทุ่งกล้วย อ.ภูซาง จ.พะเยา</v>
      </c>
      <c r="C64" s="56" t="str">
        <f>[10]รายการสรุป!$I$14</f>
        <v>0700349052410466</v>
      </c>
      <c r="D64" s="64" t="s">
        <v>32</v>
      </c>
      <c r="E64" s="54">
        <f t="shared" si="146"/>
        <v>35100</v>
      </c>
      <c r="F64" s="54">
        <v>0</v>
      </c>
      <c r="G64" s="55">
        <f>[10]รายการสรุป!$J$14</f>
        <v>35100</v>
      </c>
      <c r="H64" s="54">
        <f t="shared" si="147"/>
        <v>0</v>
      </c>
      <c r="I64" s="54">
        <f t="shared" si="148"/>
        <v>0</v>
      </c>
      <c r="J64" s="54">
        <v>0</v>
      </c>
      <c r="K64" s="54"/>
      <c r="L64" s="54">
        <f t="shared" si="149"/>
        <v>0</v>
      </c>
      <c r="M64" s="54">
        <f t="shared" si="150"/>
        <v>0</v>
      </c>
      <c r="N64" s="54">
        <v>0</v>
      </c>
      <c r="O64" s="54">
        <v>0</v>
      </c>
      <c r="P64" s="54">
        <f t="shared" si="151"/>
        <v>35100</v>
      </c>
      <c r="Q64" s="54">
        <f t="shared" si="152"/>
        <v>100</v>
      </c>
      <c r="R64" s="54">
        <f t="shared" si="153"/>
        <v>0</v>
      </c>
      <c r="S64" s="54">
        <f t="shared" si="154"/>
        <v>35100</v>
      </c>
    </row>
    <row r="65" spans="1:19" ht="30.75" customHeight="1" x14ac:dyDescent="0.5">
      <c r="A65" s="9">
        <v>51</v>
      </c>
      <c r="B65" s="11" t="str">
        <f>[10]รายการสรุป!$E$15</f>
        <v>ซ่อมแซงคลองส่งน้ำสายเหมืองหลวงบ้านเหล่าอ่างเก็บน้ำห้วยตุ่นโครงการชลประทานพะเยา ต.บ้านตุ่น อเมือง จ.พะเยา</v>
      </c>
      <c r="C65" s="56" t="str">
        <f>[10]รายการสรุป!$I$15</f>
        <v>0700349052410467</v>
      </c>
      <c r="D65" s="64" t="s">
        <v>32</v>
      </c>
      <c r="E65" s="54">
        <f t="shared" si="146"/>
        <v>35000</v>
      </c>
      <c r="F65" s="54">
        <v>0</v>
      </c>
      <c r="G65" s="55">
        <f>[10]รายการสรุป!$J$15</f>
        <v>35000</v>
      </c>
      <c r="H65" s="54">
        <f t="shared" si="147"/>
        <v>0</v>
      </c>
      <c r="I65" s="54">
        <f t="shared" si="148"/>
        <v>0</v>
      </c>
      <c r="J65" s="54">
        <v>0</v>
      </c>
      <c r="K65" s="54"/>
      <c r="L65" s="54">
        <f t="shared" si="149"/>
        <v>0</v>
      </c>
      <c r="M65" s="54">
        <f t="shared" si="150"/>
        <v>0</v>
      </c>
      <c r="N65" s="54">
        <v>0</v>
      </c>
      <c r="O65" s="54">
        <v>0</v>
      </c>
      <c r="P65" s="54">
        <f t="shared" si="151"/>
        <v>35000</v>
      </c>
      <c r="Q65" s="54">
        <f t="shared" si="152"/>
        <v>100</v>
      </c>
      <c r="R65" s="54">
        <f t="shared" si="153"/>
        <v>0</v>
      </c>
      <c r="S65" s="54">
        <f t="shared" si="154"/>
        <v>35000</v>
      </c>
    </row>
    <row r="66" spans="1:19" ht="30.75" customHeight="1" x14ac:dyDescent="0.5">
      <c r="A66" s="9">
        <v>52</v>
      </c>
      <c r="B66" s="11" t="str">
        <f>[10]รายการสรุป!$E$16</f>
        <v>ซ่อมแซมคอนกรีตคลองส่งน้ำสาย 1L-RMCอ่างเก็บน้ำห้วยเคียนโครงการชลประทานพะเยา ต.ห้วยข้าวก่ำ อ.จุน จ.พะเยา</v>
      </c>
      <c r="C66" s="56" t="str">
        <f>[10]รายการสรุป!$I$16</f>
        <v>0700349052410469</v>
      </c>
      <c r="D66" s="64" t="s">
        <v>32</v>
      </c>
      <c r="E66" s="54">
        <f t="shared" si="146"/>
        <v>44500</v>
      </c>
      <c r="F66" s="54">
        <v>0</v>
      </c>
      <c r="G66" s="55">
        <f>[10]รายการสรุป!$J$16</f>
        <v>44500</v>
      </c>
      <c r="H66" s="54">
        <f t="shared" si="147"/>
        <v>0</v>
      </c>
      <c r="I66" s="54">
        <f t="shared" si="148"/>
        <v>0</v>
      </c>
      <c r="J66" s="54">
        <v>0</v>
      </c>
      <c r="K66" s="54"/>
      <c r="L66" s="54">
        <f t="shared" si="149"/>
        <v>0</v>
      </c>
      <c r="M66" s="54">
        <f t="shared" si="150"/>
        <v>0</v>
      </c>
      <c r="N66" s="54">
        <v>0</v>
      </c>
      <c r="O66" s="54">
        <v>0</v>
      </c>
      <c r="P66" s="54">
        <f t="shared" si="151"/>
        <v>44500</v>
      </c>
      <c r="Q66" s="54">
        <f t="shared" si="152"/>
        <v>100</v>
      </c>
      <c r="R66" s="54">
        <f t="shared" si="153"/>
        <v>0</v>
      </c>
      <c r="S66" s="54">
        <f t="shared" si="154"/>
        <v>44500</v>
      </c>
    </row>
    <row r="67" spans="1:19" ht="30.75" customHeight="1" x14ac:dyDescent="0.5">
      <c r="A67" s="9">
        <v>53</v>
      </c>
      <c r="B67" s="11" t="str">
        <f>[10]รายการสรุป!$E$17</f>
        <v>ซ่อมแซมคลองส่งน้ำสายฝายวังเตาอ่างเก็บน้ำร่องส้านโครงการชลประทานพะเยา ต.ร่มเย็น อ.เชียงคำ จ.พะเยา</v>
      </c>
      <c r="C67" s="56" t="str">
        <f>[10]รายการสรุป!$I$17</f>
        <v>0700349052410470</v>
      </c>
      <c r="D67" s="64" t="s">
        <v>32</v>
      </c>
      <c r="E67" s="54">
        <f t="shared" si="146"/>
        <v>28200</v>
      </c>
      <c r="F67" s="54">
        <v>0</v>
      </c>
      <c r="G67" s="55">
        <f>[10]รายการสรุป!$J$17</f>
        <v>28200</v>
      </c>
      <c r="H67" s="54">
        <f t="shared" si="147"/>
        <v>0</v>
      </c>
      <c r="I67" s="54">
        <f t="shared" si="148"/>
        <v>0</v>
      </c>
      <c r="J67" s="54">
        <v>0</v>
      </c>
      <c r="K67" s="54"/>
      <c r="L67" s="54">
        <f t="shared" si="149"/>
        <v>0</v>
      </c>
      <c r="M67" s="54">
        <f t="shared" si="150"/>
        <v>0</v>
      </c>
      <c r="N67" s="54">
        <v>0</v>
      </c>
      <c r="O67" s="54">
        <v>0</v>
      </c>
      <c r="P67" s="54">
        <f t="shared" si="151"/>
        <v>28200</v>
      </c>
      <c r="Q67" s="54">
        <f t="shared" si="152"/>
        <v>100</v>
      </c>
      <c r="R67" s="54">
        <f t="shared" si="153"/>
        <v>0</v>
      </c>
      <c r="S67" s="54">
        <f t="shared" si="154"/>
        <v>28200</v>
      </c>
    </row>
    <row r="68" spans="1:19" ht="30.75" customHeight="1" x14ac:dyDescent="0.5">
      <c r="A68" s="9">
        <v>54</v>
      </c>
      <c r="B68" s="11" t="str">
        <f>[10]รายการสรุป!$E$18</f>
        <v>ซ่อมแซมคลองส่งน้ำท้ายท่อส่งน้ำสาย RMCอ่างเก็บน้ำแม่ปืมโครงการชลประทานพะเยา ต.บ้านเหล่า อ.แม่ใจ จ.พะเยา</v>
      </c>
      <c r="C68" s="56" t="str">
        <f>[10]รายการสรุป!$I$18</f>
        <v>0700349052410471</v>
      </c>
      <c r="D68" s="64" t="s">
        <v>32</v>
      </c>
      <c r="E68" s="54">
        <f t="shared" si="146"/>
        <v>14000</v>
      </c>
      <c r="F68" s="54">
        <v>0</v>
      </c>
      <c r="G68" s="55">
        <f>[10]รายการสรุป!$J$18</f>
        <v>14000</v>
      </c>
      <c r="H68" s="54">
        <f t="shared" si="147"/>
        <v>0</v>
      </c>
      <c r="I68" s="54">
        <f t="shared" si="148"/>
        <v>0</v>
      </c>
      <c r="J68" s="54">
        <v>0</v>
      </c>
      <c r="K68" s="54"/>
      <c r="L68" s="54">
        <f t="shared" si="149"/>
        <v>0</v>
      </c>
      <c r="M68" s="54">
        <f t="shared" si="150"/>
        <v>0</v>
      </c>
      <c r="N68" s="54">
        <v>0</v>
      </c>
      <c r="O68" s="54">
        <v>0</v>
      </c>
      <c r="P68" s="54">
        <f t="shared" si="151"/>
        <v>14000</v>
      </c>
      <c r="Q68" s="54">
        <f t="shared" si="152"/>
        <v>100</v>
      </c>
      <c r="R68" s="54">
        <f t="shared" si="153"/>
        <v>0</v>
      </c>
      <c r="S68" s="54">
        <f t="shared" si="154"/>
        <v>14000</v>
      </c>
    </row>
    <row r="69" spans="1:19" ht="30.75" customHeight="1" x14ac:dyDescent="0.5">
      <c r="A69" s="9">
        <v>55</v>
      </c>
      <c r="B69" s="11" t="str">
        <f>[10]รายการสรุป!$E$19</f>
        <v>ซ่อมแซมคอนกรีตคลองส่งน้ำสาย1R-1LMCอ่างเก็บน้ำแม่กำลังโครงการชลประทานพะเยา ต.ขุนควร อ.ปง จ.พะเยา</v>
      </c>
      <c r="C69" s="56" t="str">
        <f>[10]รายการสรุป!$I$19</f>
        <v>0700349052410472</v>
      </c>
      <c r="D69" s="64" t="s">
        <v>32</v>
      </c>
      <c r="E69" s="54">
        <f t="shared" si="146"/>
        <v>45000</v>
      </c>
      <c r="F69" s="54">
        <v>0</v>
      </c>
      <c r="G69" s="55">
        <f>[10]รายการสรุป!$J$19</f>
        <v>45000</v>
      </c>
      <c r="H69" s="54">
        <f t="shared" si="147"/>
        <v>0</v>
      </c>
      <c r="I69" s="54">
        <f t="shared" si="148"/>
        <v>0</v>
      </c>
      <c r="J69" s="54">
        <v>0</v>
      </c>
      <c r="K69" s="54"/>
      <c r="L69" s="54">
        <f t="shared" si="149"/>
        <v>0</v>
      </c>
      <c r="M69" s="54">
        <f t="shared" si="150"/>
        <v>0</v>
      </c>
      <c r="N69" s="54">
        <v>0</v>
      </c>
      <c r="O69" s="54">
        <v>0</v>
      </c>
      <c r="P69" s="54">
        <f t="shared" si="151"/>
        <v>45000</v>
      </c>
      <c r="Q69" s="54">
        <f t="shared" si="152"/>
        <v>100</v>
      </c>
      <c r="R69" s="54">
        <f t="shared" si="153"/>
        <v>0</v>
      </c>
      <c r="S69" s="54">
        <f t="shared" si="154"/>
        <v>45000</v>
      </c>
    </row>
    <row r="70" spans="1:19" ht="30.75" customHeight="1" x14ac:dyDescent="0.5">
      <c r="A70" s="9">
        <v>56</v>
      </c>
      <c r="B70" s="11" t="str">
        <f>[10]รายการสรุป!$E$20</f>
        <v>ซ่อมแซมคลองส่งน้ำรางรินฝายปางถ้ำ2 โครงการชลประทานพะเยา ต.ร่มเย็น อ.เชียงคำ จ.พะเยา</v>
      </c>
      <c r="C70" s="56" t="str">
        <f>[10]รายการสรุป!$I$20</f>
        <v>0700349052410473</v>
      </c>
      <c r="D70" s="64" t="s">
        <v>32</v>
      </c>
      <c r="E70" s="54">
        <f t="shared" si="146"/>
        <v>18000</v>
      </c>
      <c r="F70" s="54">
        <v>0</v>
      </c>
      <c r="G70" s="55">
        <f>[10]รายการสรุป!$J$20</f>
        <v>18000</v>
      </c>
      <c r="H70" s="54">
        <f t="shared" si="147"/>
        <v>0</v>
      </c>
      <c r="I70" s="54">
        <f t="shared" si="148"/>
        <v>0</v>
      </c>
      <c r="J70" s="54">
        <v>0</v>
      </c>
      <c r="K70" s="54"/>
      <c r="L70" s="54">
        <f t="shared" si="149"/>
        <v>0</v>
      </c>
      <c r="M70" s="54">
        <f t="shared" si="150"/>
        <v>0</v>
      </c>
      <c r="N70" s="54">
        <v>0</v>
      </c>
      <c r="O70" s="54">
        <v>0</v>
      </c>
      <c r="P70" s="54">
        <f t="shared" si="151"/>
        <v>18000</v>
      </c>
      <c r="Q70" s="54">
        <f t="shared" si="152"/>
        <v>100</v>
      </c>
      <c r="R70" s="54">
        <f t="shared" si="153"/>
        <v>0</v>
      </c>
      <c r="S70" s="54">
        <f t="shared" si="154"/>
        <v>18000</v>
      </c>
    </row>
    <row r="71" spans="1:19" ht="45" customHeight="1" x14ac:dyDescent="0.5">
      <c r="A71" s="9">
        <v>57</v>
      </c>
      <c r="B71" s="11" t="str">
        <f>[10]รายการสรุป!$E$21</f>
        <v>ซ่อมแซมคลองส่งน้ำสาย1R-RMCกม.12+990ถึงกม13+440อ่างเก็บน้ำแม่ปืมโครงการชลประทานพะเยา ต.บ้านเหล่า อ.แม่ใจ.จ.พะเยา</v>
      </c>
      <c r="C71" s="56" t="str">
        <f>[10]รายการสรุป!$I$21</f>
        <v>0700349052410474</v>
      </c>
      <c r="D71" s="64" t="s">
        <v>32</v>
      </c>
      <c r="E71" s="54">
        <f t="shared" si="146"/>
        <v>23000</v>
      </c>
      <c r="F71" s="54">
        <v>0</v>
      </c>
      <c r="G71" s="55">
        <f>[10]รายการสรุป!$J$21</f>
        <v>23000</v>
      </c>
      <c r="H71" s="54">
        <f t="shared" si="147"/>
        <v>0</v>
      </c>
      <c r="I71" s="54">
        <f t="shared" si="148"/>
        <v>0</v>
      </c>
      <c r="J71" s="54">
        <v>0</v>
      </c>
      <c r="K71" s="54"/>
      <c r="L71" s="54">
        <f t="shared" si="149"/>
        <v>0</v>
      </c>
      <c r="M71" s="54">
        <f t="shared" si="150"/>
        <v>0</v>
      </c>
      <c r="N71" s="54">
        <v>0</v>
      </c>
      <c r="O71" s="54">
        <v>0</v>
      </c>
      <c r="P71" s="54">
        <f t="shared" si="151"/>
        <v>23000</v>
      </c>
      <c r="Q71" s="54">
        <f t="shared" si="152"/>
        <v>100</v>
      </c>
      <c r="R71" s="54">
        <f t="shared" si="153"/>
        <v>0</v>
      </c>
      <c r="S71" s="54">
        <f t="shared" si="154"/>
        <v>23000</v>
      </c>
    </row>
    <row r="72" spans="1:19" ht="30.75" customHeight="1" x14ac:dyDescent="0.5">
      <c r="A72" s="9">
        <v>58</v>
      </c>
      <c r="B72" s="11" t="str">
        <f>[10]รายการสรุป!$E$22</f>
        <v>ซ่อมแซมท่อส่งน้ำสาย LMCฝายน้ำสาวลูกที่ 2 โครงการชลประทานพะเยา ต.ขุนควร อ.ปง จ.พะเยา</v>
      </c>
      <c r="C72" s="56" t="str">
        <f>[10]รายการสรุป!$I$22</f>
        <v>0700349052410475</v>
      </c>
      <c r="D72" s="64" t="s">
        <v>32</v>
      </c>
      <c r="E72" s="54">
        <f t="shared" si="146"/>
        <v>39800</v>
      </c>
      <c r="F72" s="54">
        <v>0</v>
      </c>
      <c r="G72" s="55">
        <f>[10]รายการสรุป!$J$22</f>
        <v>39800</v>
      </c>
      <c r="H72" s="54">
        <f t="shared" si="147"/>
        <v>0</v>
      </c>
      <c r="I72" s="54">
        <f t="shared" si="148"/>
        <v>0</v>
      </c>
      <c r="J72" s="54">
        <v>0</v>
      </c>
      <c r="K72" s="54"/>
      <c r="L72" s="54">
        <f t="shared" si="149"/>
        <v>0</v>
      </c>
      <c r="M72" s="54">
        <f t="shared" si="150"/>
        <v>0</v>
      </c>
      <c r="N72" s="54">
        <v>0</v>
      </c>
      <c r="O72" s="54">
        <v>0</v>
      </c>
      <c r="P72" s="54">
        <f t="shared" si="151"/>
        <v>39800</v>
      </c>
      <c r="Q72" s="54">
        <f t="shared" si="152"/>
        <v>100</v>
      </c>
      <c r="R72" s="54">
        <f t="shared" si="153"/>
        <v>0</v>
      </c>
      <c r="S72" s="54">
        <f t="shared" si="154"/>
        <v>39800</v>
      </c>
    </row>
    <row r="73" spans="1:19" ht="30.75" customHeight="1" x14ac:dyDescent="0.5">
      <c r="A73" s="9">
        <v>59</v>
      </c>
      <c r="B73" s="11" t="str">
        <f>[10]รายการสรุป!$E$23</f>
        <v>ซ่อมแซมคลองส่งน้ำสายดงชาวบ้านอ่างเก็บน้ำห้วยซ้ายโครงการชลประทานพะเยา ต.ทุ่งกล้วย อ.ภูซาง จ.พะเยา</v>
      </c>
      <c r="C73" s="56" t="str">
        <f>[10]รายการสรุป!$I$23</f>
        <v>0700349052410476</v>
      </c>
      <c r="D73" s="64" t="s">
        <v>32</v>
      </c>
      <c r="E73" s="54">
        <f t="shared" si="146"/>
        <v>23400</v>
      </c>
      <c r="F73" s="54">
        <v>0</v>
      </c>
      <c r="G73" s="55">
        <f>[10]รายการสรุป!$J$23</f>
        <v>23400</v>
      </c>
      <c r="H73" s="54">
        <f t="shared" si="147"/>
        <v>0</v>
      </c>
      <c r="I73" s="54">
        <f t="shared" si="148"/>
        <v>0</v>
      </c>
      <c r="J73" s="54">
        <v>0</v>
      </c>
      <c r="K73" s="54"/>
      <c r="L73" s="54">
        <f t="shared" si="149"/>
        <v>0</v>
      </c>
      <c r="M73" s="54">
        <f t="shared" si="150"/>
        <v>0</v>
      </c>
      <c r="N73" s="54">
        <v>0</v>
      </c>
      <c r="O73" s="54">
        <v>0</v>
      </c>
      <c r="P73" s="54">
        <f t="shared" si="151"/>
        <v>23400</v>
      </c>
      <c r="Q73" s="54">
        <f t="shared" si="152"/>
        <v>100</v>
      </c>
      <c r="R73" s="54">
        <f t="shared" si="153"/>
        <v>0</v>
      </c>
      <c r="S73" s="54">
        <f t="shared" si="154"/>
        <v>23400</v>
      </c>
    </row>
    <row r="74" spans="1:19" ht="33.75" customHeight="1" x14ac:dyDescent="0.5">
      <c r="A74" s="9"/>
      <c r="B74" s="18" t="s">
        <v>28</v>
      </c>
      <c r="C74" s="18"/>
      <c r="D74" s="24"/>
      <c r="E74" s="19">
        <f>F74+G74</f>
        <v>262000</v>
      </c>
      <c r="F74" s="19">
        <f>SUM(F75:F80)</f>
        <v>0</v>
      </c>
      <c r="G74" s="19">
        <f>SUM(G75:G80)</f>
        <v>262000</v>
      </c>
      <c r="H74" s="19">
        <f>J74+K74</f>
        <v>0</v>
      </c>
      <c r="I74" s="19">
        <f>H74*100/E74</f>
        <v>0</v>
      </c>
      <c r="J74" s="19">
        <f>SUM(J75:J80)</f>
        <v>0</v>
      </c>
      <c r="K74" s="19">
        <f>SUM(K75:K80)</f>
        <v>0</v>
      </c>
      <c r="L74" s="19">
        <f>N74+O74</f>
        <v>0</v>
      </c>
      <c r="M74" s="19">
        <f>L74*100/E74</f>
        <v>0</v>
      </c>
      <c r="N74" s="19">
        <f>SUM(N75:N80)</f>
        <v>0</v>
      </c>
      <c r="O74" s="19">
        <f>SUM(O75:O80)</f>
        <v>0</v>
      </c>
      <c r="P74" s="19">
        <f t="shared" si="151"/>
        <v>262000</v>
      </c>
      <c r="Q74" s="19">
        <f>P74*100/E74</f>
        <v>100</v>
      </c>
      <c r="R74" s="19">
        <f t="shared" si="153"/>
        <v>0</v>
      </c>
      <c r="S74" s="19">
        <f t="shared" si="154"/>
        <v>262000</v>
      </c>
    </row>
    <row r="75" spans="1:19" ht="33.75" customHeight="1" x14ac:dyDescent="0.5">
      <c r="A75" s="9">
        <v>60</v>
      </c>
      <c r="B75" s="11" t="str">
        <f>[12]รายการสรุป!$E$5</f>
        <v>ซ่อมแซมระบบส่งน้ำคลอง RMCอ่างเก็บน้ำน้ำแหง(กลางพรด.)โครงการชลประทานน่าน อ.นาน้อย จ.น่าน</v>
      </c>
      <c r="C75" s="56" t="str">
        <f>[12]รายการสรุป!$I$5</f>
        <v>0700349052410448</v>
      </c>
      <c r="D75" s="64" t="s">
        <v>32</v>
      </c>
      <c r="E75" s="54">
        <f t="shared" ref="E75" si="155">F75+G75</f>
        <v>62000</v>
      </c>
      <c r="F75" s="54">
        <v>0</v>
      </c>
      <c r="G75" s="55">
        <f>[12]รายการสรุป!$J$5</f>
        <v>62000</v>
      </c>
      <c r="H75" s="54">
        <f t="shared" ref="H75" si="156">J75+K75</f>
        <v>0</v>
      </c>
      <c r="I75" s="54">
        <f t="shared" ref="I75" si="157">H75*100/E75</f>
        <v>0</v>
      </c>
      <c r="J75" s="54">
        <v>0</v>
      </c>
      <c r="K75" s="54"/>
      <c r="L75" s="54">
        <f t="shared" ref="L75" si="158">N75+O75</f>
        <v>0</v>
      </c>
      <c r="M75" s="54">
        <f t="shared" ref="M75" si="159">L75*100/E75</f>
        <v>0</v>
      </c>
      <c r="N75" s="54">
        <v>0</v>
      </c>
      <c r="O75" s="54">
        <v>0</v>
      </c>
      <c r="P75" s="54">
        <f t="shared" ref="P75" si="160">R75+S75</f>
        <v>62000</v>
      </c>
      <c r="Q75" s="54">
        <f t="shared" ref="Q75" si="161">P75*100/E75</f>
        <v>100</v>
      </c>
      <c r="R75" s="54">
        <f t="shared" ref="R75" si="162">F75-J75-N75</f>
        <v>0</v>
      </c>
      <c r="S75" s="54">
        <f t="shared" ref="S75" si="163">G75-K75-O75</f>
        <v>62000</v>
      </c>
    </row>
    <row r="76" spans="1:19" ht="33.75" customHeight="1" x14ac:dyDescent="0.5">
      <c r="A76" s="9">
        <v>61</v>
      </c>
      <c r="B76" s="11" t="str">
        <f>[12]รายการสรุป!$E$6</f>
        <v>ซ่อมแซมคลองส่งน้ำ1R-RMCอ่างเก็บน้ำน้ำงอบโครงการชลประทานน่าน ต.งอบ อ.ทุ่งช้าง จ.น่าน</v>
      </c>
      <c r="C76" s="56" t="str">
        <f>[12]รายการสรุป!$I$6</f>
        <v>0700349052410450</v>
      </c>
      <c r="D76" s="64" t="s">
        <v>32</v>
      </c>
      <c r="E76" s="54">
        <f t="shared" ref="E76:E79" si="164">F76+G76</f>
        <v>37000</v>
      </c>
      <c r="F76" s="54">
        <v>0</v>
      </c>
      <c r="G76" s="55">
        <f>[12]รายการสรุป!$J$6</f>
        <v>37000</v>
      </c>
      <c r="H76" s="54">
        <f t="shared" ref="H76:H79" si="165">J76+K76</f>
        <v>0</v>
      </c>
      <c r="I76" s="54">
        <f t="shared" ref="I76:I79" si="166">H76*100/E76</f>
        <v>0</v>
      </c>
      <c r="J76" s="54">
        <v>0</v>
      </c>
      <c r="K76" s="54"/>
      <c r="L76" s="54">
        <f t="shared" ref="L76:L79" si="167">N76+O76</f>
        <v>0</v>
      </c>
      <c r="M76" s="54">
        <f t="shared" ref="M76:M79" si="168">L76*100/E76</f>
        <v>0</v>
      </c>
      <c r="N76" s="54">
        <v>0</v>
      </c>
      <c r="O76" s="54">
        <v>0</v>
      </c>
      <c r="P76" s="54">
        <f t="shared" ref="P76:P83" si="169">R76+S76</f>
        <v>37000</v>
      </c>
      <c r="Q76" s="54">
        <f t="shared" ref="Q76:Q79" si="170">P76*100/E76</f>
        <v>100</v>
      </c>
      <c r="R76" s="54">
        <f t="shared" ref="R76:R83" si="171">F76-J76-N76</f>
        <v>0</v>
      </c>
      <c r="S76" s="54">
        <f t="shared" ref="S76:S83" si="172">G76-K76-O76</f>
        <v>37000</v>
      </c>
    </row>
    <row r="77" spans="1:19" ht="33.75" customHeight="1" x14ac:dyDescent="0.5">
      <c r="A77" s="9">
        <v>62</v>
      </c>
      <c r="B77" s="11" t="str">
        <f>[12]รายการสรุป!$E$7</f>
        <v>ซ่อมแซมระบบส่งน้ำคลอง LMCกม.5+890.7+700อ่างเก็บน้ำน้ำแหง(กลาง)โครงการชลประทานน่าน อ.นาน้อย จ.น่าน</v>
      </c>
      <c r="C77" s="56" t="str">
        <f>[12]รายการสรุป!$I$7</f>
        <v>0700349052410451</v>
      </c>
      <c r="D77" s="64" t="s">
        <v>32</v>
      </c>
      <c r="E77" s="54">
        <f t="shared" si="164"/>
        <v>43000</v>
      </c>
      <c r="F77" s="54">
        <v>0</v>
      </c>
      <c r="G77" s="55">
        <f>[12]รายการสรุป!$J$7</f>
        <v>43000</v>
      </c>
      <c r="H77" s="54">
        <f t="shared" si="165"/>
        <v>0</v>
      </c>
      <c r="I77" s="54">
        <f t="shared" si="166"/>
        <v>0</v>
      </c>
      <c r="J77" s="54">
        <v>0</v>
      </c>
      <c r="K77" s="54"/>
      <c r="L77" s="54">
        <f t="shared" si="167"/>
        <v>0</v>
      </c>
      <c r="M77" s="54">
        <f t="shared" si="168"/>
        <v>0</v>
      </c>
      <c r="N77" s="54">
        <v>0</v>
      </c>
      <c r="O77" s="54">
        <v>0</v>
      </c>
      <c r="P77" s="54">
        <f t="shared" si="169"/>
        <v>43000</v>
      </c>
      <c r="Q77" s="54">
        <f t="shared" si="170"/>
        <v>100</v>
      </c>
      <c r="R77" s="54">
        <f t="shared" si="171"/>
        <v>0</v>
      </c>
      <c r="S77" s="54">
        <f t="shared" si="172"/>
        <v>43000</v>
      </c>
    </row>
    <row r="78" spans="1:19" ht="33.75" customHeight="1" x14ac:dyDescent="0.5">
      <c r="A78" s="9">
        <v>63</v>
      </c>
      <c r="B78" s="11" t="str">
        <f>[12]รายการสรุป!$E$8</f>
        <v>ซ่อมแซมคลองส่งน้ำ LMCอ่างเก็บน้ำน้ำและกม.1+900ถึงกม2+000 โครงการชลประทานน่าน ต.และ อ.ทุ่งช้าง จ.น่าน</v>
      </c>
      <c r="C78" s="56" t="str">
        <f>[12]รายการสรุป!$I$8</f>
        <v>0700349052410452</v>
      </c>
      <c r="D78" s="64" t="s">
        <v>32</v>
      </c>
      <c r="E78" s="54">
        <f t="shared" si="164"/>
        <v>38000</v>
      </c>
      <c r="F78" s="54">
        <v>0</v>
      </c>
      <c r="G78" s="55">
        <f>[12]รายการสรุป!$J$8</f>
        <v>38000</v>
      </c>
      <c r="H78" s="54">
        <f t="shared" si="165"/>
        <v>0</v>
      </c>
      <c r="I78" s="54">
        <f t="shared" si="166"/>
        <v>0</v>
      </c>
      <c r="J78" s="54">
        <v>0</v>
      </c>
      <c r="K78" s="54"/>
      <c r="L78" s="54">
        <f t="shared" si="167"/>
        <v>0</v>
      </c>
      <c r="M78" s="54">
        <f t="shared" si="168"/>
        <v>0</v>
      </c>
      <c r="N78" s="54">
        <v>0</v>
      </c>
      <c r="O78" s="54">
        <v>0</v>
      </c>
      <c r="P78" s="54">
        <f t="shared" si="169"/>
        <v>38000</v>
      </c>
      <c r="Q78" s="54">
        <f t="shared" si="170"/>
        <v>100</v>
      </c>
      <c r="R78" s="54">
        <f t="shared" si="171"/>
        <v>0</v>
      </c>
      <c r="S78" s="54">
        <f t="shared" si="172"/>
        <v>38000</v>
      </c>
    </row>
    <row r="79" spans="1:19" ht="33.75" customHeight="1" x14ac:dyDescent="0.5">
      <c r="A79" s="9">
        <v>64</v>
      </c>
      <c r="B79" s="11" t="str">
        <f>[12]รายการสรุป!$E$9</f>
        <v>ซ่อมแซมคลองส่งน้ำRMCฝายน้ำสอดโครงการชลประทานน่าน ต.และ อ.ทุ่งช้าง จ.น่าน</v>
      </c>
      <c r="C79" s="56" t="str">
        <f>[12]รายการสรุป!$I$9</f>
        <v>0700349052410453</v>
      </c>
      <c r="D79" s="64" t="s">
        <v>32</v>
      </c>
      <c r="E79" s="54">
        <f t="shared" si="164"/>
        <v>38000</v>
      </c>
      <c r="F79" s="54">
        <v>0</v>
      </c>
      <c r="G79" s="55">
        <f>[13]รายการสรุป!$J$9</f>
        <v>38000</v>
      </c>
      <c r="H79" s="54">
        <f t="shared" si="165"/>
        <v>0</v>
      </c>
      <c r="I79" s="54">
        <f t="shared" si="166"/>
        <v>0</v>
      </c>
      <c r="J79" s="54">
        <v>0</v>
      </c>
      <c r="K79" s="54"/>
      <c r="L79" s="54">
        <f t="shared" si="167"/>
        <v>0</v>
      </c>
      <c r="M79" s="54">
        <f t="shared" si="168"/>
        <v>0</v>
      </c>
      <c r="N79" s="54">
        <v>0</v>
      </c>
      <c r="O79" s="54">
        <v>0</v>
      </c>
      <c r="P79" s="54">
        <f t="shared" si="169"/>
        <v>38000</v>
      </c>
      <c r="Q79" s="54">
        <f t="shared" si="170"/>
        <v>100</v>
      </c>
      <c r="R79" s="54">
        <f t="shared" si="171"/>
        <v>0</v>
      </c>
      <c r="S79" s="54">
        <f t="shared" si="172"/>
        <v>38000</v>
      </c>
    </row>
    <row r="80" spans="1:19" ht="46.5" customHeight="1" x14ac:dyDescent="0.5">
      <c r="A80" s="9">
        <v>65</v>
      </c>
      <c r="B80" s="11" t="str">
        <f>[12]รายการสรุป!$E$10</f>
        <v>ซ่อมแซมอาคารปลายคลอง 3R-LMC อ่างเก็บน้ำน้ำแหง(กลาง พรด.)โครงการชลประทานน่าน ต.นาน้อย อ.นาน้อย จ.น่าน</v>
      </c>
      <c r="C80" s="56" t="str">
        <f>[12]รายการสรุป!$I$10</f>
        <v>0700349052410455</v>
      </c>
      <c r="D80" s="64" t="s">
        <v>49</v>
      </c>
      <c r="E80" s="54">
        <f t="shared" ref="E80" si="173">F80+G80</f>
        <v>44000</v>
      </c>
      <c r="F80" s="54">
        <v>0</v>
      </c>
      <c r="G80" s="55">
        <f>[12]รายการสรุป!$J$10</f>
        <v>44000</v>
      </c>
      <c r="H80" s="54">
        <f t="shared" ref="H80" si="174">J80+K80</f>
        <v>0</v>
      </c>
      <c r="I80" s="54">
        <f t="shared" ref="I80" si="175">H80*100/E80</f>
        <v>0</v>
      </c>
      <c r="J80" s="54">
        <v>0</v>
      </c>
      <c r="K80" s="54"/>
      <c r="L80" s="54">
        <f t="shared" ref="L80" si="176">N80+O80</f>
        <v>0</v>
      </c>
      <c r="M80" s="54">
        <f t="shared" ref="M80" si="177">L80*100/E80</f>
        <v>0</v>
      </c>
      <c r="N80" s="54">
        <v>0</v>
      </c>
      <c r="O80" s="54">
        <v>0</v>
      </c>
      <c r="P80" s="54">
        <f t="shared" ref="P80" si="178">R80+S80</f>
        <v>44000</v>
      </c>
      <c r="Q80" s="54">
        <f t="shared" ref="Q80" si="179">P80*100/E80</f>
        <v>100</v>
      </c>
      <c r="R80" s="54">
        <f t="shared" ref="R80" si="180">F80-J80-N80</f>
        <v>0</v>
      </c>
      <c r="S80" s="54">
        <f t="shared" ref="S80" si="181">G80-K80-O80</f>
        <v>44000</v>
      </c>
    </row>
    <row r="81" spans="1:19" ht="33.75" customHeight="1" x14ac:dyDescent="0.5">
      <c r="A81" s="9"/>
      <c r="B81" s="18" t="s">
        <v>36</v>
      </c>
      <c r="C81" s="18"/>
      <c r="D81" s="24"/>
      <c r="E81" s="19">
        <f>F81+G81</f>
        <v>17500</v>
      </c>
      <c r="F81" s="19">
        <f>SUM(F82)</f>
        <v>0</v>
      </c>
      <c r="G81" s="19">
        <f>SUM(G82)</f>
        <v>17500</v>
      </c>
      <c r="H81" s="19">
        <f>J81+K81</f>
        <v>0</v>
      </c>
      <c r="I81" s="19">
        <f>H81*100/E81</f>
        <v>0</v>
      </c>
      <c r="J81" s="19">
        <f>SUM(J82)</f>
        <v>0</v>
      </c>
      <c r="K81" s="19">
        <f>SUM(K82)</f>
        <v>0</v>
      </c>
      <c r="L81" s="19">
        <f>N81+O81</f>
        <v>0</v>
      </c>
      <c r="M81" s="19">
        <f>L81*100/E81</f>
        <v>0</v>
      </c>
      <c r="N81" s="19">
        <f>SUM(N82)</f>
        <v>0</v>
      </c>
      <c r="O81" s="19">
        <f>SUM(O82)</f>
        <v>0</v>
      </c>
      <c r="P81" s="19">
        <f t="shared" si="169"/>
        <v>17500</v>
      </c>
      <c r="Q81" s="19">
        <f>P81*100/E81</f>
        <v>100</v>
      </c>
      <c r="R81" s="19">
        <f t="shared" si="171"/>
        <v>0</v>
      </c>
      <c r="S81" s="19">
        <f t="shared" si="172"/>
        <v>17500</v>
      </c>
    </row>
    <row r="82" spans="1:19" ht="48" customHeight="1" x14ac:dyDescent="0.5">
      <c r="A82" s="9">
        <v>66</v>
      </c>
      <c r="B82" s="11" t="str">
        <f>[14]รายการสรุป!$E$5</f>
        <v>ซ่อมแซมบายระบายอาคารอัดน้ำกลางคลองสายใหญ่ฝั่งซ้ายโครงการส่งน้ำและบำรุงรักษาแม่ลาว ต.ดงมะดะ อ.แม่ลาว จ.เชียงราย</v>
      </c>
      <c r="C82" s="56" t="str">
        <f>[14]รายการสรุป!$I$5</f>
        <v>0700349052410364</v>
      </c>
      <c r="D82" s="64" t="s">
        <v>32</v>
      </c>
      <c r="E82" s="54">
        <f t="shared" ref="E82" si="182">F82+G82</f>
        <v>17500</v>
      </c>
      <c r="F82" s="54">
        <v>0</v>
      </c>
      <c r="G82" s="55">
        <f>[14]รายการสรุป!$J$5</f>
        <v>17500</v>
      </c>
      <c r="H82" s="54">
        <f t="shared" ref="H82" si="183">J82+K82</f>
        <v>0</v>
      </c>
      <c r="I82" s="54">
        <f t="shared" ref="I82" si="184">H82*100/E82</f>
        <v>0</v>
      </c>
      <c r="J82" s="54">
        <v>0</v>
      </c>
      <c r="K82" s="54"/>
      <c r="L82" s="54">
        <f t="shared" ref="L82" si="185">N82+O82</f>
        <v>0</v>
      </c>
      <c r="M82" s="54">
        <f t="shared" ref="M82" si="186">L82*100/E82</f>
        <v>0</v>
      </c>
      <c r="N82" s="54">
        <v>0</v>
      </c>
      <c r="O82" s="54">
        <v>0</v>
      </c>
      <c r="P82" s="54">
        <f t="shared" ref="P82" si="187">R82+S82</f>
        <v>17500</v>
      </c>
      <c r="Q82" s="54">
        <f t="shared" ref="Q82" si="188">P82*100/E82</f>
        <v>100</v>
      </c>
      <c r="R82" s="54">
        <f t="shared" ref="R82" si="189">F82-J82-N82</f>
        <v>0</v>
      </c>
      <c r="S82" s="54">
        <f t="shared" ref="S82" si="190">G82-K82-O82</f>
        <v>17500</v>
      </c>
    </row>
    <row r="83" spans="1:19" ht="34.5" customHeight="1" x14ac:dyDescent="0.5">
      <c r="A83" s="9"/>
      <c r="B83" s="18" t="s">
        <v>33</v>
      </c>
      <c r="C83" s="18"/>
      <c r="D83" s="24"/>
      <c r="E83" s="19">
        <f>F83+G83</f>
        <v>3596700</v>
      </c>
      <c r="F83" s="19">
        <f>SUM(F84:F98)</f>
        <v>0</v>
      </c>
      <c r="G83" s="19">
        <f>SUM(G84:G98)</f>
        <v>3596700</v>
      </c>
      <c r="H83" s="19">
        <f>J83+K83</f>
        <v>0</v>
      </c>
      <c r="I83" s="19">
        <f>H83*100/E83</f>
        <v>0</v>
      </c>
      <c r="J83" s="19">
        <f>SUM(J84:J98)</f>
        <v>0</v>
      </c>
      <c r="K83" s="19">
        <f>SUM(K84:K98)</f>
        <v>0</v>
      </c>
      <c r="L83" s="19">
        <f>N83+O83</f>
        <v>0</v>
      </c>
      <c r="M83" s="19">
        <f>L83*100/E83</f>
        <v>0</v>
      </c>
      <c r="N83" s="19">
        <f>SUM(N84:N98)</f>
        <v>0</v>
      </c>
      <c r="O83" s="19">
        <f>SUM(O84:O98)</f>
        <v>0</v>
      </c>
      <c r="P83" s="19">
        <f t="shared" si="169"/>
        <v>3596700</v>
      </c>
      <c r="Q83" s="19">
        <f>P83*100/E83</f>
        <v>100</v>
      </c>
      <c r="R83" s="19">
        <f t="shared" si="171"/>
        <v>0</v>
      </c>
      <c r="S83" s="19">
        <f t="shared" si="172"/>
        <v>3596700</v>
      </c>
    </row>
    <row r="84" spans="1:19" ht="31.5" customHeight="1" x14ac:dyDescent="0.5">
      <c r="A84" s="9">
        <v>67</v>
      </c>
      <c r="B84" s="11" t="str">
        <f>[15]รายการสรุป!$E$5</f>
        <v>ปรับปรุงคลองซอย36.7L-RMCกิ่วลม ต.บ้านเป้า อ.เมือง จ.ลำปาง</v>
      </c>
      <c r="C84" s="56" t="str">
        <f>[15]รายการสรุป!$I$5</f>
        <v>0700349052420162</v>
      </c>
      <c r="D84" s="64" t="s">
        <v>32</v>
      </c>
      <c r="E84" s="54">
        <f t="shared" ref="E84" si="191">F84+G84</f>
        <v>530000</v>
      </c>
      <c r="F84" s="54">
        <v>0</v>
      </c>
      <c r="G84" s="55">
        <f>[15]รายการสรุป!$J$5</f>
        <v>530000</v>
      </c>
      <c r="H84" s="54">
        <f t="shared" ref="H84" si="192">J84+K84</f>
        <v>0</v>
      </c>
      <c r="I84" s="54">
        <f t="shared" ref="I84" si="193">H84*100/E84</f>
        <v>0</v>
      </c>
      <c r="J84" s="54">
        <v>0</v>
      </c>
      <c r="K84" s="54"/>
      <c r="L84" s="54">
        <f t="shared" ref="L84" si="194">N84+O84</f>
        <v>0</v>
      </c>
      <c r="M84" s="54">
        <f t="shared" ref="M84" si="195">L84*100/E84</f>
        <v>0</v>
      </c>
      <c r="N84" s="54">
        <v>0</v>
      </c>
      <c r="O84" s="54">
        <v>0</v>
      </c>
      <c r="P84" s="54">
        <f t="shared" ref="P84" si="196">R84+S84</f>
        <v>530000</v>
      </c>
      <c r="Q84" s="54">
        <f t="shared" ref="Q84" si="197">P84*100/E84</f>
        <v>100</v>
      </c>
      <c r="R84" s="54">
        <f t="shared" ref="R84" si="198">F84-J84-N84</f>
        <v>0</v>
      </c>
      <c r="S84" s="54">
        <f t="shared" ref="S84" si="199">G84-K84-O84</f>
        <v>530000</v>
      </c>
    </row>
    <row r="85" spans="1:19" ht="31.5" customHeight="1" x14ac:dyDescent="0.5">
      <c r="A85" s="9">
        <v>68</v>
      </c>
      <c r="B85" s="11" t="str">
        <f>[15]รายการสรุป!$E$6</f>
        <v>ปรับปรุงคลองซอย35.7L-RMCกิ่วลม ต.บ้านเป้า อ.เมือง จ.ลำปาง</v>
      </c>
      <c r="C85" s="56" t="str">
        <f>[15]รายการสรุป!$I$6</f>
        <v>0700349052420163</v>
      </c>
      <c r="D85" s="64" t="s">
        <v>32</v>
      </c>
      <c r="E85" s="54">
        <f t="shared" ref="E85" si="200">F85+G85</f>
        <v>550000</v>
      </c>
      <c r="F85" s="54">
        <v>0</v>
      </c>
      <c r="G85" s="55">
        <f>[15]รายการสรุป!$J$6</f>
        <v>550000</v>
      </c>
      <c r="H85" s="54">
        <f t="shared" ref="H85" si="201">J85+K85</f>
        <v>0</v>
      </c>
      <c r="I85" s="54">
        <f t="shared" ref="I85" si="202">H85*100/E85</f>
        <v>0</v>
      </c>
      <c r="J85" s="54">
        <v>0</v>
      </c>
      <c r="K85" s="54"/>
      <c r="L85" s="54">
        <f t="shared" ref="L85" si="203">N85+O85</f>
        <v>0</v>
      </c>
      <c r="M85" s="54">
        <f t="shared" ref="M85" si="204">L85*100/E85</f>
        <v>0</v>
      </c>
      <c r="N85" s="54">
        <v>0</v>
      </c>
      <c r="O85" s="54">
        <v>0</v>
      </c>
      <c r="P85" s="54">
        <f t="shared" ref="P85:P110" si="205">R85+S85</f>
        <v>550000</v>
      </c>
      <c r="Q85" s="54">
        <f t="shared" ref="Q85" si="206">P85*100/E85</f>
        <v>100</v>
      </c>
      <c r="R85" s="54">
        <f t="shared" ref="R85:R110" si="207">F85-J85-N85</f>
        <v>0</v>
      </c>
      <c r="S85" s="54">
        <f t="shared" ref="S85:S110" si="208">G85-K85-O85</f>
        <v>550000</v>
      </c>
    </row>
    <row r="86" spans="1:19" ht="31.5" customHeight="1" x14ac:dyDescent="0.5">
      <c r="A86" s="9">
        <v>69</v>
      </c>
      <c r="B86" s="11" t="str">
        <f>[15]รายการสรุป!$E$7</f>
        <v>ปรับปรุงลาดตลิ่งคลองส่งน้ำสายใหญ่แม่วังฝั่งขวาโครงการส่งน้ำและบำรุงรักษาแม่วัง ต.บ่อแฮ้ว อ.เมือง จ.ลำปาง</v>
      </c>
      <c r="C86" s="56" t="str">
        <f>[15]รายการสรุป!$I$7</f>
        <v>0700349052420031</v>
      </c>
      <c r="D86" s="64" t="s">
        <v>49</v>
      </c>
      <c r="E86" s="54">
        <f t="shared" ref="E86" si="209">F86+G86</f>
        <v>418700</v>
      </c>
      <c r="F86" s="54">
        <v>0</v>
      </c>
      <c r="G86" s="55">
        <f>[15]รายการสรุป!$J$7</f>
        <v>418700</v>
      </c>
      <c r="H86" s="54">
        <f t="shared" ref="H86" si="210">J86+K86</f>
        <v>0</v>
      </c>
      <c r="I86" s="54">
        <f t="shared" ref="I86" si="211">H86*100/E86</f>
        <v>0</v>
      </c>
      <c r="J86" s="54">
        <v>0</v>
      </c>
      <c r="K86" s="54"/>
      <c r="L86" s="54">
        <f t="shared" ref="L86" si="212">N86+O86</f>
        <v>0</v>
      </c>
      <c r="M86" s="54">
        <f t="shared" ref="M86" si="213">L86*100/E86</f>
        <v>0</v>
      </c>
      <c r="N86" s="54">
        <v>0</v>
      </c>
      <c r="O86" s="54">
        <v>0</v>
      </c>
      <c r="P86" s="54">
        <f t="shared" ref="P86" si="214">R86+S86</f>
        <v>418700</v>
      </c>
      <c r="Q86" s="54">
        <f t="shared" ref="Q86" si="215">P86*100/E86</f>
        <v>100</v>
      </c>
      <c r="R86" s="54">
        <f t="shared" ref="R86" si="216">F86-J86-N86</f>
        <v>0</v>
      </c>
      <c r="S86" s="54">
        <f t="shared" ref="S86" si="217">G86-K86-O86</f>
        <v>418700</v>
      </c>
    </row>
    <row r="87" spans="1:19" ht="31.5" customHeight="1" x14ac:dyDescent="0.5">
      <c r="A87" s="9">
        <v>70</v>
      </c>
      <c r="B87" s="11" t="str">
        <f>[15]รายการสรุป!$E$8</f>
        <v>ปรับปรุงฝายแม่ไพรลูกที่ 5 พร้อมอาคารประกอบ ต.หนองหล่ม อ.ห้างฉัตร จ.ลำปาง</v>
      </c>
      <c r="C87" s="56" t="str">
        <f>[15]รายการสรุป!$I$8</f>
        <v>0700349052420032</v>
      </c>
      <c r="D87" s="64" t="s">
        <v>49</v>
      </c>
      <c r="E87" s="54">
        <f t="shared" ref="E87:E88" si="218">F87+G87</f>
        <v>479000</v>
      </c>
      <c r="F87" s="54">
        <v>0</v>
      </c>
      <c r="G87" s="55">
        <f>[15]รายการสรุป!$J$8</f>
        <v>479000</v>
      </c>
      <c r="H87" s="54">
        <f t="shared" ref="H87:H88" si="219">J87+K87</f>
        <v>0</v>
      </c>
      <c r="I87" s="54">
        <f t="shared" ref="I87:I88" si="220">H87*100/E87</f>
        <v>0</v>
      </c>
      <c r="J87" s="54">
        <v>0</v>
      </c>
      <c r="K87" s="54"/>
      <c r="L87" s="54">
        <f t="shared" ref="L87:L88" si="221">N87+O87</f>
        <v>0</v>
      </c>
      <c r="M87" s="54">
        <f t="shared" ref="M87:M88" si="222">L87*100/E87</f>
        <v>0</v>
      </c>
      <c r="N87" s="54">
        <v>0</v>
      </c>
      <c r="O87" s="54">
        <v>0</v>
      </c>
      <c r="P87" s="54">
        <f t="shared" ref="P87:P88" si="223">R87+S87</f>
        <v>479000</v>
      </c>
      <c r="Q87" s="54">
        <f t="shared" ref="Q87:Q88" si="224">P87*100/E87</f>
        <v>100</v>
      </c>
      <c r="R87" s="54">
        <f t="shared" ref="R87:R88" si="225">F87-J87-N87</f>
        <v>0</v>
      </c>
      <c r="S87" s="54">
        <f t="shared" ref="S87:S88" si="226">G87-K87-O87</f>
        <v>479000</v>
      </c>
    </row>
    <row r="88" spans="1:19" ht="31.5" customHeight="1" x14ac:dyDescent="0.5">
      <c r="A88" s="9">
        <v>71</v>
      </c>
      <c r="B88" s="11" t="str">
        <f>[15]รายการสรุป!$E$9</f>
        <v>ปรับปรุงระบบส่งน้ำอ่างเก็บน้ำแม่งอนอันเนื่องมาจากพระราชดำริระยะ 4(สิ้นสุดโครงการ) ต.บ้านแหง อ.งาว จ.ลำปาง</v>
      </c>
      <c r="C88" s="56" t="str">
        <f>[15]รายการสรุป!$I$9</f>
        <v>0700349052420036</v>
      </c>
      <c r="D88" s="64" t="s">
        <v>49</v>
      </c>
      <c r="E88" s="54">
        <f t="shared" si="218"/>
        <v>300000</v>
      </c>
      <c r="F88" s="54">
        <v>0</v>
      </c>
      <c r="G88" s="55">
        <f>[15]รายการสรุป!$J$9</f>
        <v>300000</v>
      </c>
      <c r="H88" s="54">
        <f t="shared" si="219"/>
        <v>0</v>
      </c>
      <c r="I88" s="54">
        <f t="shared" si="220"/>
        <v>0</v>
      </c>
      <c r="J88" s="54">
        <v>0</v>
      </c>
      <c r="K88" s="54"/>
      <c r="L88" s="54">
        <f t="shared" si="221"/>
        <v>0</v>
      </c>
      <c r="M88" s="54">
        <f t="shared" si="222"/>
        <v>0</v>
      </c>
      <c r="N88" s="54">
        <v>0</v>
      </c>
      <c r="O88" s="54">
        <v>0</v>
      </c>
      <c r="P88" s="54">
        <f t="shared" si="223"/>
        <v>300000</v>
      </c>
      <c r="Q88" s="54">
        <f t="shared" si="224"/>
        <v>100</v>
      </c>
      <c r="R88" s="54">
        <f t="shared" si="225"/>
        <v>0</v>
      </c>
      <c r="S88" s="54">
        <f t="shared" si="226"/>
        <v>300000</v>
      </c>
    </row>
    <row r="89" spans="1:19" ht="31.5" customHeight="1" x14ac:dyDescent="0.5">
      <c r="A89" s="9">
        <v>72</v>
      </c>
      <c r="B89" s="11" t="str">
        <f>[16]รายการสรุป!$E$10</f>
        <v>ปรับปรุงระบบส่งน้ำสนับสนุนแปลงทฤษฎีใหม่พื้นที่ฝ่ายส่งน้ำและบำรุงรักษาที่ 2 อ.เมือง จ.ลำปาง</v>
      </c>
      <c r="C89" s="56" t="str">
        <f>[16]รายการสรุป!$I$10</f>
        <v>0700349052410181</v>
      </c>
      <c r="D89" s="64" t="s">
        <v>32</v>
      </c>
      <c r="E89" s="54">
        <f t="shared" ref="E89" si="227">F89+G89</f>
        <v>250000</v>
      </c>
      <c r="F89" s="54">
        <v>0</v>
      </c>
      <c r="G89" s="55">
        <f>[16]รายการสรุป!$J$10</f>
        <v>250000</v>
      </c>
      <c r="H89" s="54">
        <f t="shared" ref="H89" si="228">J89+K89</f>
        <v>0</v>
      </c>
      <c r="I89" s="54">
        <f t="shared" ref="I89" si="229">H89*100/E89</f>
        <v>0</v>
      </c>
      <c r="J89" s="54">
        <v>0</v>
      </c>
      <c r="K89" s="54"/>
      <c r="L89" s="54">
        <f t="shared" ref="L89" si="230">N89+O89</f>
        <v>0</v>
      </c>
      <c r="M89" s="54">
        <f t="shared" ref="M89" si="231">L89*100/E89</f>
        <v>0</v>
      </c>
      <c r="N89" s="54">
        <v>0</v>
      </c>
      <c r="O89" s="54">
        <v>0</v>
      </c>
      <c r="P89" s="54">
        <f t="shared" ref="P89" si="232">R89+S89</f>
        <v>250000</v>
      </c>
      <c r="Q89" s="54">
        <f t="shared" ref="Q89" si="233">P89*100/E89</f>
        <v>100</v>
      </c>
      <c r="R89" s="54">
        <f t="shared" ref="R89" si="234">F89-J89-N89</f>
        <v>0</v>
      </c>
      <c r="S89" s="54">
        <f t="shared" ref="S89" si="235">G89-K89-O89</f>
        <v>250000</v>
      </c>
    </row>
    <row r="90" spans="1:19" ht="31.5" customHeight="1" x14ac:dyDescent="0.5">
      <c r="A90" s="9">
        <v>73</v>
      </c>
      <c r="B90" s="11" t="str">
        <f>[16]รายการสรุป!$E$11</f>
        <v>ปรับปรุงคลองซอย8+034RMCกิ่วลม อ.เมือง จ.ลำปาง</v>
      </c>
      <c r="C90" s="56" t="str">
        <f>[16]รายการสรุป!$I$11</f>
        <v>0700349052410183</v>
      </c>
      <c r="D90" s="64" t="s">
        <v>32</v>
      </c>
      <c r="E90" s="54">
        <f t="shared" ref="E90:E93" si="236">F90+G90</f>
        <v>113000</v>
      </c>
      <c r="F90" s="54">
        <v>0</v>
      </c>
      <c r="G90" s="55">
        <f>[16]รายการสรุป!$J$11</f>
        <v>113000</v>
      </c>
      <c r="H90" s="54">
        <f t="shared" ref="H90:H93" si="237">J90+K90</f>
        <v>0</v>
      </c>
      <c r="I90" s="54">
        <f t="shared" ref="I90:I93" si="238">H90*100/E90</f>
        <v>0</v>
      </c>
      <c r="J90" s="54">
        <v>0</v>
      </c>
      <c r="K90" s="54"/>
      <c r="L90" s="54">
        <f t="shared" ref="L90:L93" si="239">N90+O90</f>
        <v>0</v>
      </c>
      <c r="M90" s="54">
        <f t="shared" ref="M90:M93" si="240">L90*100/E90</f>
        <v>0</v>
      </c>
      <c r="N90" s="54">
        <v>0</v>
      </c>
      <c r="O90" s="54">
        <v>0</v>
      </c>
      <c r="P90" s="54">
        <f t="shared" ref="P90:P93" si="241">R90+S90</f>
        <v>113000</v>
      </c>
      <c r="Q90" s="54">
        <f t="shared" ref="Q90:Q93" si="242">P90*100/E90</f>
        <v>100</v>
      </c>
      <c r="R90" s="54">
        <f t="shared" ref="R90:R93" si="243">F90-J90-N90</f>
        <v>0</v>
      </c>
      <c r="S90" s="54">
        <f t="shared" ref="S90:S93" si="244">G90-K90-O90</f>
        <v>113000</v>
      </c>
    </row>
    <row r="91" spans="1:19" ht="31.5" customHeight="1" x14ac:dyDescent="0.5">
      <c r="A91" s="9">
        <v>74</v>
      </c>
      <c r="B91" s="11" t="str">
        <f>[16]รายการสรุป!$E$12</f>
        <v>ปรับปรุงคลองซอย18.3L-RMCกิ่วลม  อ.เมือง จ.ลำปาง</v>
      </c>
      <c r="C91" s="56" t="str">
        <f>[16]รายการสรุป!$I$12</f>
        <v>0700349052410184</v>
      </c>
      <c r="D91" s="64" t="s">
        <v>32</v>
      </c>
      <c r="E91" s="54">
        <f t="shared" si="236"/>
        <v>182000</v>
      </c>
      <c r="F91" s="54">
        <v>0</v>
      </c>
      <c r="G91" s="55">
        <f>[16]รายการสรุป!$J$12</f>
        <v>182000</v>
      </c>
      <c r="H91" s="54">
        <f t="shared" si="237"/>
        <v>0</v>
      </c>
      <c r="I91" s="54">
        <f t="shared" si="238"/>
        <v>0</v>
      </c>
      <c r="J91" s="54">
        <v>0</v>
      </c>
      <c r="K91" s="54"/>
      <c r="L91" s="54">
        <f t="shared" si="239"/>
        <v>0</v>
      </c>
      <c r="M91" s="54">
        <f t="shared" si="240"/>
        <v>0</v>
      </c>
      <c r="N91" s="54">
        <v>0</v>
      </c>
      <c r="O91" s="54">
        <v>0</v>
      </c>
      <c r="P91" s="54">
        <f t="shared" si="241"/>
        <v>182000</v>
      </c>
      <c r="Q91" s="54">
        <f t="shared" si="242"/>
        <v>100</v>
      </c>
      <c r="R91" s="54">
        <f t="shared" si="243"/>
        <v>0</v>
      </c>
      <c r="S91" s="54">
        <f t="shared" si="244"/>
        <v>182000</v>
      </c>
    </row>
    <row r="92" spans="1:19" ht="31.5" customHeight="1" x14ac:dyDescent="0.5">
      <c r="A92" s="9">
        <v>75</v>
      </c>
      <c r="B92" s="11" t="str">
        <f>[16]รายการสรุป!$E$13</f>
        <v>ปรับปรุงคลองซอย กม5+838 RMCกิ่วลม อ.เมือง จ.ลำปาง</v>
      </c>
      <c r="C92" s="56" t="str">
        <f>[16]รายการสรุป!$I$13</f>
        <v>0700349052410185</v>
      </c>
      <c r="D92" s="64" t="s">
        <v>32</v>
      </c>
      <c r="E92" s="54">
        <f t="shared" si="236"/>
        <v>112000</v>
      </c>
      <c r="F92" s="54">
        <v>0</v>
      </c>
      <c r="G92" s="55">
        <f>[16]รายการสรุป!$J$13</f>
        <v>112000</v>
      </c>
      <c r="H92" s="54">
        <f t="shared" si="237"/>
        <v>0</v>
      </c>
      <c r="I92" s="54">
        <f t="shared" si="238"/>
        <v>0</v>
      </c>
      <c r="J92" s="54">
        <v>0</v>
      </c>
      <c r="K92" s="54"/>
      <c r="L92" s="54">
        <f t="shared" si="239"/>
        <v>0</v>
      </c>
      <c r="M92" s="54">
        <f t="shared" si="240"/>
        <v>0</v>
      </c>
      <c r="N92" s="54">
        <v>0</v>
      </c>
      <c r="O92" s="54">
        <v>0</v>
      </c>
      <c r="P92" s="54">
        <f t="shared" si="241"/>
        <v>112000</v>
      </c>
      <c r="Q92" s="54">
        <f t="shared" si="242"/>
        <v>100</v>
      </c>
      <c r="R92" s="54">
        <f t="shared" si="243"/>
        <v>0</v>
      </c>
      <c r="S92" s="54">
        <f t="shared" si="244"/>
        <v>112000</v>
      </c>
    </row>
    <row r="93" spans="1:19" ht="45.75" customHeight="1" x14ac:dyDescent="0.5">
      <c r="A93" s="9">
        <v>76</v>
      </c>
      <c r="B93" s="11" t="str">
        <f>[16]รายการสรุป!$E$14</f>
        <v>ปรับปรุงระบายน้ำปลายคลอง คลองซอย 1.6L-RMCกิ่วลม11.2L-RMCกิ่วลมและคลองแยกซอย15.2L-RMCกิ่วลม อ.เมือง จ.ลำปาง</v>
      </c>
      <c r="C93" s="56" t="str">
        <f>[16]รายการสรุป!$I$14</f>
        <v>0700349052410186</v>
      </c>
      <c r="D93" s="64" t="s">
        <v>32</v>
      </c>
      <c r="E93" s="54">
        <f t="shared" si="236"/>
        <v>128000</v>
      </c>
      <c r="F93" s="54">
        <v>0</v>
      </c>
      <c r="G93" s="55">
        <f>[16]รายการสรุป!$J$14</f>
        <v>128000</v>
      </c>
      <c r="H93" s="54">
        <f t="shared" si="237"/>
        <v>0</v>
      </c>
      <c r="I93" s="54">
        <f t="shared" si="238"/>
        <v>0</v>
      </c>
      <c r="J93" s="54">
        <v>0</v>
      </c>
      <c r="K93" s="54"/>
      <c r="L93" s="54">
        <f t="shared" si="239"/>
        <v>0</v>
      </c>
      <c r="M93" s="54">
        <f t="shared" si="240"/>
        <v>0</v>
      </c>
      <c r="N93" s="54">
        <v>0</v>
      </c>
      <c r="O93" s="54">
        <v>0</v>
      </c>
      <c r="P93" s="54">
        <f t="shared" si="241"/>
        <v>128000</v>
      </c>
      <c r="Q93" s="54">
        <f t="shared" si="242"/>
        <v>100</v>
      </c>
      <c r="R93" s="54">
        <f t="shared" si="243"/>
        <v>0</v>
      </c>
      <c r="S93" s="54">
        <f t="shared" si="244"/>
        <v>128000</v>
      </c>
    </row>
    <row r="94" spans="1:19" ht="28.5" customHeight="1" x14ac:dyDescent="0.5">
      <c r="A94" s="9">
        <v>77</v>
      </c>
      <c r="B94" s="11" t="str">
        <f>[16]รายการสรุป!$E$15</f>
        <v>ปรับปรุงท่อส่งน้ำสนับสนุนแปลงใหญ่ 9 แห่ง คลองซอย 12 RMCกิ่วลม ต.ลำปางหลวง อ.เกาะคา จ.ลำปาง</v>
      </c>
      <c r="C94" s="56" t="str">
        <f>[16]รายการสรุป!$I$15</f>
        <v>0700349052410180</v>
      </c>
      <c r="D94" s="64" t="s">
        <v>56</v>
      </c>
      <c r="E94" s="54">
        <f t="shared" ref="E94" si="245">F94+G94</f>
        <v>23000</v>
      </c>
      <c r="F94" s="54">
        <v>0</v>
      </c>
      <c r="G94" s="55">
        <f>[16]รายการสรุป!$J$15</f>
        <v>23000</v>
      </c>
      <c r="H94" s="54">
        <f t="shared" ref="H94" si="246">J94+K94</f>
        <v>0</v>
      </c>
      <c r="I94" s="54">
        <f t="shared" ref="I94" si="247">H94*100/E94</f>
        <v>0</v>
      </c>
      <c r="J94" s="54">
        <v>0</v>
      </c>
      <c r="K94" s="54"/>
      <c r="L94" s="54">
        <f t="shared" ref="L94" si="248">N94+O94</f>
        <v>0</v>
      </c>
      <c r="M94" s="54">
        <f t="shared" ref="M94" si="249">L94*100/E94</f>
        <v>0</v>
      </c>
      <c r="N94" s="54">
        <v>0</v>
      </c>
      <c r="O94" s="54">
        <v>0</v>
      </c>
      <c r="P94" s="54">
        <f t="shared" ref="P94" si="250">R94+S94</f>
        <v>23000</v>
      </c>
      <c r="Q94" s="54">
        <f t="shared" ref="Q94" si="251">P94*100/E94</f>
        <v>100</v>
      </c>
      <c r="R94" s="54">
        <f t="shared" ref="R94" si="252">F94-J94-N94</f>
        <v>0</v>
      </c>
      <c r="S94" s="54">
        <f t="shared" ref="S94" si="253">G94-K94-O94</f>
        <v>23000</v>
      </c>
    </row>
    <row r="95" spans="1:19" ht="25.5" customHeight="1" x14ac:dyDescent="0.5">
      <c r="A95" s="9">
        <v>78</v>
      </c>
      <c r="B95" s="11" t="str">
        <f>[16]รายการสรุป!$E$16</f>
        <v>ปรับปรุงอาคารอัดน้ำกลางคลอง RMC กิ่วคอมา จำนวน 2 แห่ง อ.แจ้ห่ม จ.ลำปาง</v>
      </c>
      <c r="C95" s="56" t="str">
        <f>[16]รายการสรุป!$I$16</f>
        <v>0700349052410182</v>
      </c>
      <c r="D95" s="64" t="s">
        <v>56</v>
      </c>
      <c r="E95" s="54">
        <f t="shared" ref="E95:E98" si="254">F95+G95</f>
        <v>280000</v>
      </c>
      <c r="F95" s="54">
        <v>0</v>
      </c>
      <c r="G95" s="55">
        <f>[16]รายการสรุป!$J$16</f>
        <v>280000</v>
      </c>
      <c r="H95" s="54">
        <f t="shared" ref="H95:H98" si="255">J95+K95</f>
        <v>0</v>
      </c>
      <c r="I95" s="54">
        <f t="shared" ref="I95:I98" si="256">H95*100/E95</f>
        <v>0</v>
      </c>
      <c r="J95" s="54">
        <v>0</v>
      </c>
      <c r="K95" s="54"/>
      <c r="L95" s="54">
        <f t="shared" ref="L95:L98" si="257">N95+O95</f>
        <v>0</v>
      </c>
      <c r="M95" s="54">
        <f t="shared" ref="M95:M98" si="258">L95*100/E95</f>
        <v>0</v>
      </c>
      <c r="N95" s="54">
        <v>0</v>
      </c>
      <c r="O95" s="54">
        <v>0</v>
      </c>
      <c r="P95" s="54">
        <f t="shared" ref="P95:P98" si="259">R95+S95</f>
        <v>280000</v>
      </c>
      <c r="Q95" s="54">
        <f t="shared" ref="Q95:Q98" si="260">P95*100/E95</f>
        <v>100</v>
      </c>
      <c r="R95" s="54">
        <f t="shared" ref="R95:R98" si="261">F95-J95-N95</f>
        <v>0</v>
      </c>
      <c r="S95" s="54">
        <f t="shared" ref="S95:S98" si="262">G95-K95-O95</f>
        <v>280000</v>
      </c>
    </row>
    <row r="96" spans="1:19" ht="24.75" customHeight="1" x14ac:dyDescent="0.5">
      <c r="A96" s="9">
        <v>79</v>
      </c>
      <c r="B96" s="11" t="str">
        <f>[16]รายการสรุป!$E$17</f>
        <v>ปรับปรุงคลองส่งน้ำสายซอย กม.8+000 คลองส่งน้ำสายใหญ่ฝั่งซ้ายท้ายเขื่อนกิ่วคอหมา ต.แจ้ห่ม อ.แจ้ห่ม จ.ลำปาง</v>
      </c>
      <c r="C96" s="56" t="str">
        <f>[16]รายการสรุป!$I$17</f>
        <v>0700349052410187</v>
      </c>
      <c r="D96" s="64" t="s">
        <v>56</v>
      </c>
      <c r="E96" s="54">
        <f t="shared" si="254"/>
        <v>187000</v>
      </c>
      <c r="F96" s="54">
        <v>0</v>
      </c>
      <c r="G96" s="55">
        <f>[16]รายการสรุป!$J$17</f>
        <v>187000</v>
      </c>
      <c r="H96" s="54">
        <f t="shared" si="255"/>
        <v>0</v>
      </c>
      <c r="I96" s="54">
        <f t="shared" si="256"/>
        <v>0</v>
      </c>
      <c r="J96" s="54">
        <v>0</v>
      </c>
      <c r="K96" s="54"/>
      <c r="L96" s="54">
        <f t="shared" si="257"/>
        <v>0</v>
      </c>
      <c r="M96" s="54">
        <f t="shared" si="258"/>
        <v>0</v>
      </c>
      <c r="N96" s="54">
        <v>0</v>
      </c>
      <c r="O96" s="54">
        <v>0</v>
      </c>
      <c r="P96" s="54">
        <f t="shared" si="259"/>
        <v>187000</v>
      </c>
      <c r="Q96" s="54">
        <f t="shared" si="260"/>
        <v>100</v>
      </c>
      <c r="R96" s="54">
        <f t="shared" si="261"/>
        <v>0</v>
      </c>
      <c r="S96" s="54">
        <f t="shared" si="262"/>
        <v>187000</v>
      </c>
    </row>
    <row r="97" spans="1:19" ht="23.25" customHeight="1" x14ac:dyDescent="0.5">
      <c r="A97" s="9">
        <v>80</v>
      </c>
      <c r="B97" s="11" t="str">
        <f>[16]รายการสรุป!$E$18</f>
        <v>ปรับปรุงคูส่งน้ำ กม.10+800 คลองส่งน้ำสายใหญ่ฝั่งซ้ายท้ายเขื่อนกิ่วคอหมา ต.แจ้ห่ม อ.แจ้ห่ม จ.ลำปาง</v>
      </c>
      <c r="C97" s="56" t="str">
        <f>[16]รายการสรุป!$I$18</f>
        <v>0700349052410188</v>
      </c>
      <c r="D97" s="64" t="s">
        <v>56</v>
      </c>
      <c r="E97" s="54">
        <f t="shared" si="254"/>
        <v>23000</v>
      </c>
      <c r="F97" s="54">
        <v>0</v>
      </c>
      <c r="G97" s="55">
        <f>[16]รายการสรุป!$J$18</f>
        <v>23000</v>
      </c>
      <c r="H97" s="54">
        <f t="shared" si="255"/>
        <v>0</v>
      </c>
      <c r="I97" s="54">
        <f t="shared" si="256"/>
        <v>0</v>
      </c>
      <c r="J97" s="54">
        <v>0</v>
      </c>
      <c r="K97" s="54"/>
      <c r="L97" s="54">
        <f t="shared" si="257"/>
        <v>0</v>
      </c>
      <c r="M97" s="54">
        <f t="shared" si="258"/>
        <v>0</v>
      </c>
      <c r="N97" s="54">
        <v>0</v>
      </c>
      <c r="O97" s="54">
        <v>0</v>
      </c>
      <c r="P97" s="54">
        <f t="shared" si="259"/>
        <v>23000</v>
      </c>
      <c r="Q97" s="54">
        <f t="shared" si="260"/>
        <v>100</v>
      </c>
      <c r="R97" s="54">
        <f t="shared" si="261"/>
        <v>0</v>
      </c>
      <c r="S97" s="54">
        <f t="shared" si="262"/>
        <v>23000</v>
      </c>
    </row>
    <row r="98" spans="1:19" ht="29.25" customHeight="1" x14ac:dyDescent="0.5">
      <c r="A98" s="9">
        <v>81</v>
      </c>
      <c r="B98" s="11" t="str">
        <f>[16]รายการสรุป!$E$19</f>
        <v>ปรับปรุงคลองแยกซอย คลองซอย 3 RMC  กิ่วคอหมา ต.แจ้ห่ม อ.แจ้ห่ม จ.ลำปาง</v>
      </c>
      <c r="C98" s="56" t="str">
        <f>[16]รายการสรุป!$I$19</f>
        <v>0700349052410189</v>
      </c>
      <c r="D98" s="64" t="s">
        <v>56</v>
      </c>
      <c r="E98" s="54">
        <f t="shared" si="254"/>
        <v>21000</v>
      </c>
      <c r="F98" s="54">
        <v>0</v>
      </c>
      <c r="G98" s="55">
        <f>[16]รายการสรุป!$J$19</f>
        <v>21000</v>
      </c>
      <c r="H98" s="54">
        <f t="shared" si="255"/>
        <v>0</v>
      </c>
      <c r="I98" s="54">
        <f t="shared" si="256"/>
        <v>0</v>
      </c>
      <c r="J98" s="54">
        <v>0</v>
      </c>
      <c r="K98" s="54"/>
      <c r="L98" s="54">
        <f t="shared" si="257"/>
        <v>0</v>
      </c>
      <c r="M98" s="54">
        <f t="shared" si="258"/>
        <v>0</v>
      </c>
      <c r="N98" s="54">
        <v>0</v>
      </c>
      <c r="O98" s="54">
        <v>0</v>
      </c>
      <c r="P98" s="54">
        <f t="shared" si="259"/>
        <v>21000</v>
      </c>
      <c r="Q98" s="54">
        <f t="shared" si="260"/>
        <v>100</v>
      </c>
      <c r="R98" s="54">
        <f t="shared" si="261"/>
        <v>0</v>
      </c>
      <c r="S98" s="54">
        <f t="shared" si="262"/>
        <v>21000</v>
      </c>
    </row>
    <row r="99" spans="1:19" ht="31.5" customHeight="1" x14ac:dyDescent="0.5">
      <c r="A99" s="9"/>
      <c r="B99" s="18" t="s">
        <v>48</v>
      </c>
      <c r="C99" s="18"/>
      <c r="D99" s="24"/>
      <c r="E99" s="19">
        <f>F99+G99</f>
        <v>1828584</v>
      </c>
      <c r="F99" s="19">
        <f>SUM(F100:F104)</f>
        <v>0</v>
      </c>
      <c r="G99" s="19">
        <f>SUM(G100:G104)</f>
        <v>1828584</v>
      </c>
      <c r="H99" s="19">
        <f>J99+K99</f>
        <v>0</v>
      </c>
      <c r="I99" s="19">
        <f>H99*100/E99</f>
        <v>0</v>
      </c>
      <c r="J99" s="19">
        <f>SUM(J100:J104)</f>
        <v>0</v>
      </c>
      <c r="K99" s="19">
        <f>SUM(K100:K104)</f>
        <v>0</v>
      </c>
      <c r="L99" s="19">
        <f>N99+O99</f>
        <v>0</v>
      </c>
      <c r="M99" s="19">
        <f>L99*100/E99</f>
        <v>0</v>
      </c>
      <c r="N99" s="19">
        <f>SUM(N100:N104)</f>
        <v>0</v>
      </c>
      <c r="O99" s="19">
        <f>SUM(O100:O104)</f>
        <v>0</v>
      </c>
      <c r="P99" s="19">
        <f t="shared" si="205"/>
        <v>1828584</v>
      </c>
      <c r="Q99" s="19">
        <f>P99*100/E99</f>
        <v>100</v>
      </c>
      <c r="R99" s="19">
        <f t="shared" si="207"/>
        <v>0</v>
      </c>
      <c r="S99" s="19">
        <f t="shared" si="208"/>
        <v>1828584</v>
      </c>
    </row>
    <row r="100" spans="1:19" ht="31.5" customHeight="1" x14ac:dyDescent="0.5">
      <c r="A100" s="9">
        <v>82</v>
      </c>
      <c r="B100" s="11" t="str">
        <f>[17]รายการสรุป!$E$5</f>
        <v>ปรับปรุงบ่อพักน้ำปากคลองซอย 1R-LMC ต.ดงมะดะ อ.แม่ลาว จ.เชียงราย</v>
      </c>
      <c r="C100" s="56" t="str">
        <f>[17]รายการสรุป!$I$5</f>
        <v>0700349052410016</v>
      </c>
      <c r="D100" s="64" t="s">
        <v>49</v>
      </c>
      <c r="E100" s="54">
        <f t="shared" ref="E100" si="263">F100+G100</f>
        <v>90500</v>
      </c>
      <c r="F100" s="54">
        <v>0</v>
      </c>
      <c r="G100" s="55">
        <f>[17]รายการสรุป!$J$5</f>
        <v>90500</v>
      </c>
      <c r="H100" s="54">
        <f t="shared" ref="H100" si="264">J100+K100</f>
        <v>0</v>
      </c>
      <c r="I100" s="54">
        <f t="shared" ref="I100" si="265">H100*100/E100</f>
        <v>0</v>
      </c>
      <c r="J100" s="54">
        <v>0</v>
      </c>
      <c r="K100" s="54"/>
      <c r="L100" s="54">
        <f t="shared" ref="L100" si="266">N100+O100</f>
        <v>0</v>
      </c>
      <c r="M100" s="54">
        <f t="shared" ref="M100" si="267">L100*100/E100</f>
        <v>0</v>
      </c>
      <c r="N100" s="54">
        <v>0</v>
      </c>
      <c r="O100" s="54">
        <v>0</v>
      </c>
      <c r="P100" s="54">
        <f t="shared" ref="P100" si="268">R100+S100</f>
        <v>90500</v>
      </c>
      <c r="Q100" s="54">
        <f t="shared" ref="Q100" si="269">P100*100/E100</f>
        <v>100</v>
      </c>
      <c r="R100" s="54">
        <f t="shared" ref="R100" si="270">F100-J100-N100</f>
        <v>0</v>
      </c>
      <c r="S100" s="54">
        <f t="shared" ref="S100" si="271">G100-K100-O100</f>
        <v>90500</v>
      </c>
    </row>
    <row r="101" spans="1:19" ht="31.5" customHeight="1" x14ac:dyDescent="0.5">
      <c r="A101" s="9">
        <v>83</v>
      </c>
      <c r="B101" s="11" t="str">
        <f>[17]รายการสรุป!$E$6</f>
        <v>ปรับปรุงอาคารอัดน้ำ RMCพร้อมติดตั้งเกียร์มอเตอร์ ต.ทรายขาว อ.พาน จ.เชียงราย</v>
      </c>
      <c r="C101" s="56" t="str">
        <f>[17]รายการสรุป!$I$6</f>
        <v>0700349052420190</v>
      </c>
      <c r="D101" s="64" t="s">
        <v>49</v>
      </c>
      <c r="E101" s="54">
        <f t="shared" ref="E101:E104" si="272">F101+G101</f>
        <v>36879</v>
      </c>
      <c r="F101" s="54">
        <v>0</v>
      </c>
      <c r="G101" s="55">
        <f>[17]รายการสรุป!$J$6</f>
        <v>36879</v>
      </c>
      <c r="H101" s="54">
        <f t="shared" ref="H101:H104" si="273">J101+K101</f>
        <v>0</v>
      </c>
      <c r="I101" s="54">
        <f t="shared" ref="I101:I104" si="274">H101*100/E101</f>
        <v>0</v>
      </c>
      <c r="J101" s="54">
        <v>0</v>
      </c>
      <c r="K101" s="54"/>
      <c r="L101" s="54">
        <f t="shared" ref="L101:L104" si="275">N101+O101</f>
        <v>0</v>
      </c>
      <c r="M101" s="54">
        <f t="shared" ref="M101:M104" si="276">L101*100/E101</f>
        <v>0</v>
      </c>
      <c r="N101" s="54">
        <v>0</v>
      </c>
      <c r="O101" s="54">
        <v>0</v>
      </c>
      <c r="P101" s="54">
        <f t="shared" ref="P101:P105" si="277">R101+S101</f>
        <v>36879</v>
      </c>
      <c r="Q101" s="54">
        <f t="shared" ref="Q101:Q104" si="278">P101*100/E101</f>
        <v>100</v>
      </c>
      <c r="R101" s="54">
        <f t="shared" ref="R101:R105" si="279">F101-J101-N101</f>
        <v>0</v>
      </c>
      <c r="S101" s="54">
        <f t="shared" ref="S101:S105" si="280">G101-K101-O101</f>
        <v>36879</v>
      </c>
    </row>
    <row r="102" spans="1:19" ht="31.5" customHeight="1" x14ac:dyDescent="0.5">
      <c r="A102" s="9">
        <v>84</v>
      </c>
      <c r="B102" s="11" t="str">
        <f>[17]รายการสรุป!$E$7</f>
        <v>ปรับปรุงอาคารอัดน้ำ LMCพร้อมติดตั้งเกียร์มอเตอร์ ต.ดงมะดะ อ.แม่ลาว จ.เชียงราย</v>
      </c>
      <c r="C102" s="56" t="str">
        <f>[17]รายการสรุป!$I$7</f>
        <v>0700349052420191</v>
      </c>
      <c r="D102" s="64" t="s">
        <v>49</v>
      </c>
      <c r="E102" s="54">
        <f t="shared" si="272"/>
        <v>10705</v>
      </c>
      <c r="F102" s="54">
        <v>0</v>
      </c>
      <c r="G102" s="55">
        <f>[17]รายการสรุป!$J$7</f>
        <v>10705</v>
      </c>
      <c r="H102" s="54">
        <f t="shared" si="273"/>
        <v>0</v>
      </c>
      <c r="I102" s="54">
        <f t="shared" si="274"/>
        <v>0</v>
      </c>
      <c r="J102" s="54">
        <v>0</v>
      </c>
      <c r="K102" s="54"/>
      <c r="L102" s="54">
        <f t="shared" si="275"/>
        <v>0</v>
      </c>
      <c r="M102" s="54">
        <f t="shared" si="276"/>
        <v>0</v>
      </c>
      <c r="N102" s="54">
        <v>0</v>
      </c>
      <c r="O102" s="54">
        <v>0</v>
      </c>
      <c r="P102" s="54">
        <f t="shared" si="277"/>
        <v>10705</v>
      </c>
      <c r="Q102" s="54">
        <f t="shared" si="278"/>
        <v>100</v>
      </c>
      <c r="R102" s="54">
        <f t="shared" si="279"/>
        <v>0</v>
      </c>
      <c r="S102" s="54">
        <f t="shared" si="280"/>
        <v>10705</v>
      </c>
    </row>
    <row r="103" spans="1:19" ht="31.5" customHeight="1" x14ac:dyDescent="0.5">
      <c r="A103" s="9">
        <v>85</v>
      </c>
      <c r="B103" s="11" t="str">
        <f>[17]รายการสรุป!$E$8</f>
        <v>ปรับปรุงคลองซอย 10L-RMC ต.เมืองพาน อ.พาน จ.เชียงราย</v>
      </c>
      <c r="C103" s="56" t="str">
        <f>[17]รายการสรุป!$I$8</f>
        <v>0700349052420192</v>
      </c>
      <c r="D103" s="64" t="s">
        <v>49</v>
      </c>
      <c r="E103" s="54">
        <f t="shared" si="272"/>
        <v>286500</v>
      </c>
      <c r="F103" s="54">
        <v>0</v>
      </c>
      <c r="G103" s="55">
        <f>[17]รายการสรุป!$J$8</f>
        <v>286500</v>
      </c>
      <c r="H103" s="54">
        <f t="shared" si="273"/>
        <v>0</v>
      </c>
      <c r="I103" s="54">
        <f t="shared" si="274"/>
        <v>0</v>
      </c>
      <c r="J103" s="54">
        <v>0</v>
      </c>
      <c r="K103" s="54"/>
      <c r="L103" s="54">
        <f t="shared" si="275"/>
        <v>0</v>
      </c>
      <c r="M103" s="54">
        <f t="shared" si="276"/>
        <v>0</v>
      </c>
      <c r="N103" s="54">
        <v>0</v>
      </c>
      <c r="O103" s="54">
        <v>0</v>
      </c>
      <c r="P103" s="54">
        <f t="shared" si="277"/>
        <v>286500</v>
      </c>
      <c r="Q103" s="54">
        <f t="shared" si="278"/>
        <v>100</v>
      </c>
      <c r="R103" s="54">
        <f t="shared" si="279"/>
        <v>0</v>
      </c>
      <c r="S103" s="54">
        <f t="shared" si="280"/>
        <v>286500</v>
      </c>
    </row>
    <row r="104" spans="1:19" ht="31.5" customHeight="1" x14ac:dyDescent="0.5">
      <c r="A104" s="9">
        <v>86</v>
      </c>
      <c r="B104" s="11" t="str">
        <f>[17]รายการสรุป!$E$9</f>
        <v>ปรับปรุงประตูระบายน้ำเจ้าวรการบัญชาโครงการส่งน้ำและบำรุงรักษาแม่ลาว อ.พาน จ.เชียงราย</v>
      </c>
      <c r="C104" s="56" t="str">
        <f>[17]รายการสรุป!$I$9</f>
        <v>0700349052420034</v>
      </c>
      <c r="D104" s="64" t="s">
        <v>49</v>
      </c>
      <c r="E104" s="54">
        <f t="shared" si="272"/>
        <v>1404000</v>
      </c>
      <c r="F104" s="54">
        <v>0</v>
      </c>
      <c r="G104" s="55">
        <f>[17]รายการสรุป!$J$9</f>
        <v>1404000</v>
      </c>
      <c r="H104" s="54">
        <f t="shared" si="273"/>
        <v>0</v>
      </c>
      <c r="I104" s="54">
        <f t="shared" si="274"/>
        <v>0</v>
      </c>
      <c r="J104" s="54">
        <v>0</v>
      </c>
      <c r="K104" s="54"/>
      <c r="L104" s="54">
        <f t="shared" si="275"/>
        <v>0</v>
      </c>
      <c r="M104" s="54">
        <f t="shared" si="276"/>
        <v>0</v>
      </c>
      <c r="N104" s="54">
        <v>0</v>
      </c>
      <c r="O104" s="54">
        <v>0</v>
      </c>
      <c r="P104" s="54">
        <f t="shared" si="277"/>
        <v>1404000</v>
      </c>
      <c r="Q104" s="54">
        <f t="shared" si="278"/>
        <v>100</v>
      </c>
      <c r="R104" s="54">
        <f t="shared" si="279"/>
        <v>0</v>
      </c>
      <c r="S104" s="54">
        <f t="shared" si="280"/>
        <v>1404000</v>
      </c>
    </row>
    <row r="105" spans="1:19" ht="31.5" customHeight="1" x14ac:dyDescent="0.5">
      <c r="A105" s="9"/>
      <c r="B105" s="18" t="s">
        <v>50</v>
      </c>
      <c r="C105" s="18"/>
      <c r="D105" s="24"/>
      <c r="E105" s="19">
        <f>F105+G105</f>
        <v>733500</v>
      </c>
      <c r="F105" s="19">
        <f>SUM(F106:F107)</f>
        <v>0</v>
      </c>
      <c r="G105" s="19">
        <f>SUM(G106:G107)</f>
        <v>733500</v>
      </c>
      <c r="H105" s="19">
        <f>J105+K105</f>
        <v>0</v>
      </c>
      <c r="I105" s="19">
        <f>H105*100/E105</f>
        <v>0</v>
      </c>
      <c r="J105" s="19">
        <f>SUM(J106:J107)</f>
        <v>0</v>
      </c>
      <c r="K105" s="19">
        <f>SUM(K106:K107)</f>
        <v>0</v>
      </c>
      <c r="L105" s="19">
        <f>N105+O105</f>
        <v>0</v>
      </c>
      <c r="M105" s="19">
        <f>L105*100/E105</f>
        <v>0</v>
      </c>
      <c r="N105" s="19">
        <f>SUM(N106:N107)</f>
        <v>0</v>
      </c>
      <c r="O105" s="19">
        <f>SUM(O106:O107)</f>
        <v>0</v>
      </c>
      <c r="P105" s="19">
        <f t="shared" si="277"/>
        <v>733500</v>
      </c>
      <c r="Q105" s="19">
        <f>P105*100/E105</f>
        <v>100</v>
      </c>
      <c r="R105" s="19">
        <f t="shared" si="279"/>
        <v>0</v>
      </c>
      <c r="S105" s="19">
        <f t="shared" si="280"/>
        <v>733500</v>
      </c>
    </row>
    <row r="106" spans="1:19" ht="45.75" customHeight="1" x14ac:dyDescent="0.5">
      <c r="A106" s="9">
        <v>87</v>
      </c>
      <c r="B106" s="11" t="str">
        <f>[18]รายการสรุป!$E$5</f>
        <v>ปรับปรุงท่อลอดคลองส่งน้ำRMC กม.48+600 พร้อมระบบระบายน้ำลงหนองเล็งทราย ระยะที่ 1 ต.ศรีถ้อย อ.แม่ใจ จ.พะเยา</v>
      </c>
      <c r="C106" s="56" t="str">
        <f>[18]รายการสรุป!$I$5</f>
        <v>0700349052410193</v>
      </c>
      <c r="D106" s="64" t="s">
        <v>49</v>
      </c>
      <c r="E106" s="54">
        <f t="shared" ref="E106" si="281">F106+G106</f>
        <v>264800</v>
      </c>
      <c r="F106" s="54">
        <v>0</v>
      </c>
      <c r="G106" s="55">
        <f>[18]รายการสรุป!$J$5</f>
        <v>264800</v>
      </c>
      <c r="H106" s="54">
        <f t="shared" ref="H106" si="282">J106+K106</f>
        <v>0</v>
      </c>
      <c r="I106" s="54">
        <f t="shared" ref="I106" si="283">H106*100/E106</f>
        <v>0</v>
      </c>
      <c r="J106" s="54">
        <v>0</v>
      </c>
      <c r="K106" s="54"/>
      <c r="L106" s="54">
        <f t="shared" ref="L106" si="284">N106+O106</f>
        <v>0</v>
      </c>
      <c r="M106" s="54">
        <f t="shared" ref="M106" si="285">L106*100/E106</f>
        <v>0</v>
      </c>
      <c r="N106" s="54">
        <v>0</v>
      </c>
      <c r="O106" s="54">
        <v>0</v>
      </c>
      <c r="P106" s="54">
        <f t="shared" ref="P106" si="286">R106+S106</f>
        <v>264800</v>
      </c>
      <c r="Q106" s="54">
        <f t="shared" ref="Q106" si="287">P106*100/E106</f>
        <v>100</v>
      </c>
      <c r="R106" s="54">
        <f t="shared" ref="R106" si="288">F106-J106-N106</f>
        <v>0</v>
      </c>
      <c r="S106" s="54">
        <f t="shared" ref="S106" si="289">G106-K106-O106</f>
        <v>264800</v>
      </c>
    </row>
    <row r="107" spans="1:19" ht="31.5" customHeight="1" x14ac:dyDescent="0.5">
      <c r="A107" s="9">
        <v>88</v>
      </c>
      <c r="B107" s="11" t="str">
        <f>[18]รายการสรุป!$E$6</f>
        <v>ปรับปรุงระบบระบายน้ำบ้านนาเจริญพร้อมอาคารประกอบ ต.อ่างทอง อ.เชียงคำ จ.พะเยา</v>
      </c>
      <c r="C107" s="56" t="str">
        <f>[18]รายการสรุป!$I$6</f>
        <v>0700349052420037</v>
      </c>
      <c r="D107" s="64" t="s">
        <v>49</v>
      </c>
      <c r="E107" s="54">
        <f t="shared" ref="E107" si="290">F107+G107</f>
        <v>468700</v>
      </c>
      <c r="F107" s="54">
        <v>0</v>
      </c>
      <c r="G107" s="55">
        <f>[18]รายการสรุป!$J$6</f>
        <v>468700</v>
      </c>
      <c r="H107" s="54">
        <f t="shared" ref="H107" si="291">J107+K107</f>
        <v>0</v>
      </c>
      <c r="I107" s="54">
        <f t="shared" ref="I107" si="292">H107*100/E107</f>
        <v>0</v>
      </c>
      <c r="J107" s="54">
        <v>0</v>
      </c>
      <c r="K107" s="54"/>
      <c r="L107" s="54">
        <f t="shared" ref="L107" si="293">N107+O107</f>
        <v>0</v>
      </c>
      <c r="M107" s="54">
        <f t="shared" ref="M107" si="294">L107*100/E107</f>
        <v>0</v>
      </c>
      <c r="N107" s="54">
        <v>0</v>
      </c>
      <c r="O107" s="54">
        <v>0</v>
      </c>
      <c r="P107" s="54">
        <f t="shared" ref="P107:P108" si="295">R107+S107</f>
        <v>468700</v>
      </c>
      <c r="Q107" s="54">
        <f t="shared" ref="Q107" si="296">P107*100/E107</f>
        <v>100</v>
      </c>
      <c r="R107" s="54">
        <f t="shared" ref="R107:R108" si="297">F107-J107-N107</f>
        <v>0</v>
      </c>
      <c r="S107" s="54">
        <f t="shared" ref="S107:S108" si="298">G107-K107-O107</f>
        <v>468700</v>
      </c>
    </row>
    <row r="108" spans="1:19" ht="31.5" customHeight="1" x14ac:dyDescent="0.5">
      <c r="A108" s="9"/>
      <c r="B108" s="18" t="s">
        <v>51</v>
      </c>
      <c r="C108" s="18"/>
      <c r="D108" s="24"/>
      <c r="E108" s="19">
        <f>F108+G108</f>
        <v>408000</v>
      </c>
      <c r="F108" s="19">
        <f>SUM(F109)</f>
        <v>0</v>
      </c>
      <c r="G108" s="19">
        <f>SUM(G109)</f>
        <v>408000</v>
      </c>
      <c r="H108" s="19">
        <f>J108+K108</f>
        <v>0</v>
      </c>
      <c r="I108" s="19">
        <f>H108*100/E108</f>
        <v>0</v>
      </c>
      <c r="J108" s="19">
        <f>SUM(J109)</f>
        <v>0</v>
      </c>
      <c r="K108" s="19">
        <f>SUM(K109)</f>
        <v>0</v>
      </c>
      <c r="L108" s="19">
        <f>N108+O108</f>
        <v>0</v>
      </c>
      <c r="M108" s="19">
        <f>L108*100/E108</f>
        <v>0</v>
      </c>
      <c r="N108" s="19">
        <f>SUM(N109)</f>
        <v>0</v>
      </c>
      <c r="O108" s="19">
        <f>SUM(O109)</f>
        <v>0</v>
      </c>
      <c r="P108" s="19">
        <f t="shared" si="295"/>
        <v>408000</v>
      </c>
      <c r="Q108" s="19">
        <f>P108*100/E108</f>
        <v>100</v>
      </c>
      <c r="R108" s="19">
        <f t="shared" si="297"/>
        <v>0</v>
      </c>
      <c r="S108" s="19">
        <f t="shared" si="298"/>
        <v>408000</v>
      </c>
    </row>
    <row r="109" spans="1:19" ht="31.5" customHeight="1" x14ac:dyDescent="0.5">
      <c r="A109" s="9">
        <v>89</v>
      </c>
      <c r="B109" s="11" t="str">
        <f>[19]รายการสรุป!$E$5</f>
        <v>ปรับปรุงระบบส่งน้ำฝั่งซ้ายอ่างเก็บน้ำน้ำพงและอาคารประกอบ(ขนาดกลาง) ต.พงษ์ อ.สันติสุข จ.น่าน</v>
      </c>
      <c r="C109" s="56" t="str">
        <f>[19]รายการสรุป!$I$5</f>
        <v>0700349052420164</v>
      </c>
      <c r="D109" s="64" t="s">
        <v>49</v>
      </c>
      <c r="E109" s="54">
        <f t="shared" ref="E109" si="299">F109+G109</f>
        <v>408000</v>
      </c>
      <c r="F109" s="54">
        <v>0</v>
      </c>
      <c r="G109" s="55">
        <f>[19]รายการสรุป!$J$5</f>
        <v>408000</v>
      </c>
      <c r="H109" s="54">
        <f t="shared" ref="H109" si="300">J109+K109</f>
        <v>0</v>
      </c>
      <c r="I109" s="54">
        <f t="shared" ref="I109" si="301">H109*100/E109</f>
        <v>0</v>
      </c>
      <c r="J109" s="54">
        <v>0</v>
      </c>
      <c r="K109" s="54"/>
      <c r="L109" s="54">
        <f t="shared" ref="L109" si="302">N109+O109</f>
        <v>0</v>
      </c>
      <c r="M109" s="54">
        <f t="shared" ref="M109" si="303">L109*100/E109</f>
        <v>0</v>
      </c>
      <c r="N109" s="54">
        <v>0</v>
      </c>
      <c r="O109" s="54">
        <v>0</v>
      </c>
      <c r="P109" s="54">
        <f t="shared" ref="P109" si="304">R109+S109</f>
        <v>408000</v>
      </c>
      <c r="Q109" s="54">
        <f t="shared" ref="Q109" si="305">P109*100/E109</f>
        <v>100</v>
      </c>
      <c r="R109" s="54">
        <f t="shared" ref="R109" si="306">F109-J109-N109</f>
        <v>0</v>
      </c>
      <c r="S109" s="54">
        <f t="shared" ref="S109" si="307">G109-K109-O109</f>
        <v>408000</v>
      </c>
    </row>
    <row r="110" spans="1:19" ht="31.5" customHeight="1" x14ac:dyDescent="0.5">
      <c r="A110" s="9"/>
      <c r="B110" s="18" t="s">
        <v>44</v>
      </c>
      <c r="C110" s="18"/>
      <c r="D110" s="24"/>
      <c r="E110" s="19">
        <f>F110+G110</f>
        <v>9217000</v>
      </c>
      <c r="F110" s="19">
        <f>SUM(F111:F113)</f>
        <v>0</v>
      </c>
      <c r="G110" s="19">
        <f>SUM(G111:G113)</f>
        <v>9217000</v>
      </c>
      <c r="H110" s="19">
        <f>J110+K110</f>
        <v>139495</v>
      </c>
      <c r="I110" s="19">
        <f>H110*100/E110</f>
        <v>1.5134534013236411</v>
      </c>
      <c r="J110" s="19">
        <f>SUM(J111:J113)</f>
        <v>0</v>
      </c>
      <c r="K110" s="19">
        <f>SUM(K111:K113)</f>
        <v>139495</v>
      </c>
      <c r="L110" s="19">
        <f>N110+O110</f>
        <v>0</v>
      </c>
      <c r="M110" s="19">
        <f>L110*100/E110</f>
        <v>0</v>
      </c>
      <c r="N110" s="19">
        <f>SUM(N111:N113)</f>
        <v>0</v>
      </c>
      <c r="O110" s="19">
        <f>SUM(O111:O113)</f>
        <v>0</v>
      </c>
      <c r="P110" s="19">
        <f t="shared" si="205"/>
        <v>9077505</v>
      </c>
      <c r="Q110" s="19">
        <f>P110*100/E110</f>
        <v>98.486546598676355</v>
      </c>
      <c r="R110" s="19">
        <f t="shared" si="207"/>
        <v>0</v>
      </c>
      <c r="S110" s="19">
        <f t="shared" si="208"/>
        <v>9077505</v>
      </c>
    </row>
    <row r="111" spans="1:19" ht="31.5" customHeight="1" x14ac:dyDescent="0.5">
      <c r="A111" s="9">
        <v>90</v>
      </c>
      <c r="B111" s="65" t="str">
        <f>[20]รายการสรุป!$E$5</f>
        <v>ค่าศึกษา</v>
      </c>
      <c r="C111" s="56" t="str">
        <f>[20]รายการสรุป!$I$5</f>
        <v>0700349052420002</v>
      </c>
      <c r="D111" s="64" t="s">
        <v>45</v>
      </c>
      <c r="E111" s="54">
        <f t="shared" ref="E111" si="308">F111+G111</f>
        <v>1920000</v>
      </c>
      <c r="F111" s="54">
        <v>0</v>
      </c>
      <c r="G111" s="55">
        <f>[20]รายการสรุป!$J$5</f>
        <v>1920000</v>
      </c>
      <c r="H111" s="54">
        <f t="shared" ref="H111" si="309">J111+K111</f>
        <v>41718</v>
      </c>
      <c r="I111" s="54">
        <f t="shared" ref="I111" si="310">H111*100/E111</f>
        <v>2.1728125</v>
      </c>
      <c r="J111" s="54">
        <v>0</v>
      </c>
      <c r="K111" s="54">
        <f>6960+34758</f>
        <v>41718</v>
      </c>
      <c r="L111" s="54">
        <f t="shared" ref="L111" si="311">N111+O111</f>
        <v>0</v>
      </c>
      <c r="M111" s="54">
        <f t="shared" ref="M111" si="312">L111*100/E111</f>
        <v>0</v>
      </c>
      <c r="N111" s="54">
        <v>0</v>
      </c>
      <c r="O111" s="54">
        <v>0</v>
      </c>
      <c r="P111" s="54">
        <f t="shared" ref="P111" si="313">R111+S111</f>
        <v>1878282</v>
      </c>
      <c r="Q111" s="54">
        <f t="shared" ref="Q111" si="314">P111*100/E111</f>
        <v>97.827187499999994</v>
      </c>
      <c r="R111" s="54">
        <f t="shared" ref="R111" si="315">F111-J111-N111</f>
        <v>0</v>
      </c>
      <c r="S111" s="54">
        <f t="shared" ref="S111" si="316">G111-K111-O111</f>
        <v>1878282</v>
      </c>
    </row>
    <row r="112" spans="1:19" ht="31.5" customHeight="1" x14ac:dyDescent="0.5">
      <c r="A112" s="9">
        <v>91</v>
      </c>
      <c r="B112" s="65" t="str">
        <f>[20]รายการสรุป!$E$6</f>
        <v>ค่าสำรวจ</v>
      </c>
      <c r="C112" s="56" t="str">
        <f>[20]รายการสรุป!$I$6</f>
        <v>0700349052420002</v>
      </c>
      <c r="D112" s="64" t="s">
        <v>45</v>
      </c>
      <c r="E112" s="54">
        <f t="shared" ref="E112:E113" si="317">F112+G112</f>
        <v>4787000</v>
      </c>
      <c r="F112" s="54">
        <v>0</v>
      </c>
      <c r="G112" s="55">
        <f>[44]รายการสรุป!$J$6</f>
        <v>4787000</v>
      </c>
      <c r="H112" s="54">
        <f t="shared" ref="H112:H113" si="318">J112+K112</f>
        <v>47187</v>
      </c>
      <c r="I112" s="54">
        <f t="shared" ref="I112:I113" si="319">H112*100/E112</f>
        <v>0.98573219135157719</v>
      </c>
      <c r="J112" s="54">
        <v>0</v>
      </c>
      <c r="K112" s="54">
        <f>3360+6815+37012</f>
        <v>47187</v>
      </c>
      <c r="L112" s="54">
        <f t="shared" ref="L112:L113" si="320">N112+O112</f>
        <v>0</v>
      </c>
      <c r="M112" s="54">
        <f t="shared" ref="M112:M113" si="321">L112*100/E112</f>
        <v>0</v>
      </c>
      <c r="N112" s="54">
        <v>0</v>
      </c>
      <c r="O112" s="54">
        <v>0</v>
      </c>
      <c r="P112" s="54">
        <f t="shared" ref="P112:P113" si="322">R112+S112</f>
        <v>4739813</v>
      </c>
      <c r="Q112" s="54">
        <f t="shared" ref="Q112:Q113" si="323">P112*100/E112</f>
        <v>99.014267808648427</v>
      </c>
      <c r="R112" s="54">
        <f t="shared" ref="R112:R113" si="324">F112-J112-N112</f>
        <v>0</v>
      </c>
      <c r="S112" s="54">
        <f t="shared" ref="S112:S113" si="325">G112-K112-O112</f>
        <v>4739813</v>
      </c>
    </row>
    <row r="113" spans="1:19" ht="31.5" customHeight="1" x14ac:dyDescent="0.5">
      <c r="A113" s="9">
        <v>92</v>
      </c>
      <c r="B113" s="65" t="str">
        <f>[20]รายการสรุป!$E$7</f>
        <v>ค่าออกแบบ</v>
      </c>
      <c r="C113" s="56" t="str">
        <f>[20]รายการสรุป!$I$7</f>
        <v>0700349052420002</v>
      </c>
      <c r="D113" s="64" t="s">
        <v>45</v>
      </c>
      <c r="E113" s="54">
        <f t="shared" si="317"/>
        <v>2510000</v>
      </c>
      <c r="F113" s="54">
        <v>0</v>
      </c>
      <c r="G113" s="55">
        <f>[20]รายการสรุป!$J$7</f>
        <v>2510000</v>
      </c>
      <c r="H113" s="54">
        <f t="shared" si="318"/>
        <v>50590</v>
      </c>
      <c r="I113" s="54">
        <f t="shared" si="319"/>
        <v>2.0155378486055775</v>
      </c>
      <c r="J113" s="54">
        <v>0</v>
      </c>
      <c r="K113" s="54">
        <f>15104+6960+28526</f>
        <v>50590</v>
      </c>
      <c r="L113" s="54">
        <f t="shared" si="320"/>
        <v>0</v>
      </c>
      <c r="M113" s="54">
        <f t="shared" si="321"/>
        <v>0</v>
      </c>
      <c r="N113" s="54">
        <v>0</v>
      </c>
      <c r="O113" s="54">
        <v>0</v>
      </c>
      <c r="P113" s="54">
        <f t="shared" si="322"/>
        <v>2459410</v>
      </c>
      <c r="Q113" s="54">
        <f t="shared" si="323"/>
        <v>97.984462151394425</v>
      </c>
      <c r="R113" s="54">
        <f t="shared" si="324"/>
        <v>0</v>
      </c>
      <c r="S113" s="54">
        <f t="shared" si="325"/>
        <v>2459410</v>
      </c>
    </row>
    <row r="114" spans="1:19" ht="31.5" customHeight="1" x14ac:dyDescent="0.5">
      <c r="A114" s="9"/>
      <c r="B114" s="20" t="s">
        <v>37</v>
      </c>
      <c r="C114" s="20"/>
      <c r="D114" s="23"/>
      <c r="E114" s="21">
        <f>G114+F114</f>
        <v>13658660</v>
      </c>
      <c r="F114" s="22">
        <f>F115+F116+F120+F130+F134</f>
        <v>0</v>
      </c>
      <c r="G114" s="21">
        <f>G115+G116+G120+G130+G134</f>
        <v>13658660</v>
      </c>
      <c r="H114" s="22">
        <f>K114+J114</f>
        <v>292541</v>
      </c>
      <c r="I114" s="22">
        <f>H114*100/E114</f>
        <v>2.1417986830333282</v>
      </c>
      <c r="J114" s="22">
        <f>J115+J116+J120+J130+J134</f>
        <v>0</v>
      </c>
      <c r="K114" s="22">
        <f>K115+K116+K120+K130+K134</f>
        <v>292541</v>
      </c>
      <c r="L114" s="22">
        <f>O114+N114</f>
        <v>0</v>
      </c>
      <c r="M114" s="20"/>
      <c r="N114" s="22">
        <f>N115+N116+N120+N130+N134</f>
        <v>0</v>
      </c>
      <c r="O114" s="22">
        <f>O115+O116+O120+O130+O134</f>
        <v>0</v>
      </c>
      <c r="P114" s="22">
        <f>S114+R114</f>
        <v>13366119</v>
      </c>
      <c r="Q114" s="21">
        <f>P114*100/E114</f>
        <v>97.858201316966671</v>
      </c>
      <c r="R114" s="22">
        <f>F114-J114-N114</f>
        <v>0</v>
      </c>
      <c r="S114" s="22">
        <f>G114-K114-O114</f>
        <v>13366119</v>
      </c>
    </row>
    <row r="115" spans="1:19" ht="31.5" customHeight="1" x14ac:dyDescent="0.5">
      <c r="A115" s="9">
        <v>93</v>
      </c>
      <c r="B115" s="11" t="str">
        <f>[21]รายการสรุป!$E$5</f>
        <v>สถานีสูบน้ำด้วยไฟฟ้าพร้อมระบบส่งน้ำบ้านหนองหอย ต.เวียงมอก อ.เถิน จ.ลำปาง</v>
      </c>
      <c r="C115" s="56" t="str">
        <f>[21]รายการสรุป!$I$5</f>
        <v>0700349053420094</v>
      </c>
      <c r="D115" s="64" t="s">
        <v>38</v>
      </c>
      <c r="E115" s="54">
        <f t="shared" ref="E115" si="326">F115+G115</f>
        <v>380000</v>
      </c>
      <c r="F115" s="54">
        <v>0</v>
      </c>
      <c r="G115" s="55">
        <f>[21]รายการสรุป!$J$5</f>
        <v>380000</v>
      </c>
      <c r="H115" s="54">
        <f t="shared" ref="H115" si="327">J115+K115</f>
        <v>0</v>
      </c>
      <c r="I115" s="54">
        <f t="shared" ref="I115" si="328">H115*100/E115</f>
        <v>0</v>
      </c>
      <c r="J115" s="54">
        <v>0</v>
      </c>
      <c r="K115" s="54"/>
      <c r="L115" s="54">
        <f t="shared" ref="L115" si="329">N115+O115</f>
        <v>0</v>
      </c>
      <c r="M115" s="54">
        <f t="shared" ref="M115" si="330">L115*100/E115</f>
        <v>0</v>
      </c>
      <c r="N115" s="54">
        <v>0</v>
      </c>
      <c r="O115" s="54">
        <v>0</v>
      </c>
      <c r="P115" s="54">
        <f t="shared" ref="P115:P116" si="331">R115+S115</f>
        <v>380000</v>
      </c>
      <c r="Q115" s="54">
        <f t="shared" ref="Q115" si="332">P115*100/E115</f>
        <v>100</v>
      </c>
      <c r="R115" s="54">
        <f t="shared" ref="R115:R116" si="333">F115-J115-N115</f>
        <v>0</v>
      </c>
      <c r="S115" s="54">
        <f t="shared" ref="S115:S116" si="334">G115-K115-O115</f>
        <v>380000</v>
      </c>
    </row>
    <row r="116" spans="1:19" ht="31.5" customHeight="1" x14ac:dyDescent="0.5">
      <c r="A116" s="9"/>
      <c r="B116" s="18" t="s">
        <v>41</v>
      </c>
      <c r="C116" s="18"/>
      <c r="D116" s="24"/>
      <c r="E116" s="19">
        <f>F116+G116</f>
        <v>2999500</v>
      </c>
      <c r="F116" s="19">
        <f>SUM(F117:F119)</f>
        <v>0</v>
      </c>
      <c r="G116" s="19">
        <f>SUM(G117:G119)</f>
        <v>2999500</v>
      </c>
      <c r="H116" s="19">
        <f>J116+K116</f>
        <v>0</v>
      </c>
      <c r="I116" s="19">
        <f>H116*100/E116</f>
        <v>0</v>
      </c>
      <c r="J116" s="19">
        <f>SUM(J117:J119)</f>
        <v>0</v>
      </c>
      <c r="K116" s="19">
        <f>SUM(K117:K119)</f>
        <v>0</v>
      </c>
      <c r="L116" s="19">
        <f>N116+O116</f>
        <v>0</v>
      </c>
      <c r="M116" s="19">
        <f>L116*100/E116</f>
        <v>0</v>
      </c>
      <c r="N116" s="19">
        <f>SUM(N117:N119)</f>
        <v>0</v>
      </c>
      <c r="O116" s="19">
        <f>SUM(O117:O119)</f>
        <v>0</v>
      </c>
      <c r="P116" s="19">
        <f t="shared" si="331"/>
        <v>2999500</v>
      </c>
      <c r="Q116" s="19">
        <f>P116*100/E116</f>
        <v>100</v>
      </c>
      <c r="R116" s="19">
        <f t="shared" si="333"/>
        <v>0</v>
      </c>
      <c r="S116" s="19">
        <f t="shared" si="334"/>
        <v>2999500</v>
      </c>
    </row>
    <row r="117" spans="1:19" ht="31.5" customHeight="1" x14ac:dyDescent="0.5">
      <c r="A117" s="9">
        <v>94</v>
      </c>
      <c r="B117" s="11" t="str">
        <f>[22]รายการสรุป!$E$5</f>
        <v>อ่างเก็บน้ำน้ำกิ จ.น่าน(ถนนเข้าหัวงาน 8.00กม.)</v>
      </c>
      <c r="C117" s="56" t="str">
        <f>[22]รายการสรุป!$I$5</f>
        <v>0700349053420195</v>
      </c>
      <c r="D117" s="64" t="s">
        <v>26</v>
      </c>
      <c r="E117" s="54">
        <f t="shared" ref="E117" si="335">F117+G117</f>
        <v>1143800</v>
      </c>
      <c r="F117" s="54">
        <v>0</v>
      </c>
      <c r="G117" s="55">
        <f>[22]รายการสรุป!$J$5</f>
        <v>1143800</v>
      </c>
      <c r="H117" s="54">
        <f t="shared" ref="H117" si="336">J117+K117</f>
        <v>0</v>
      </c>
      <c r="I117" s="54">
        <f t="shared" ref="I117" si="337">H117*100/E117</f>
        <v>0</v>
      </c>
      <c r="J117" s="54">
        <v>0</v>
      </c>
      <c r="K117" s="54"/>
      <c r="L117" s="54">
        <f t="shared" ref="L117" si="338">N117+O117</f>
        <v>0</v>
      </c>
      <c r="M117" s="54">
        <f t="shared" ref="M117" si="339">L117*100/E117</f>
        <v>0</v>
      </c>
      <c r="N117" s="54">
        <v>0</v>
      </c>
      <c r="O117" s="54">
        <v>0</v>
      </c>
      <c r="P117" s="54">
        <f t="shared" ref="P117" si="340">R117+S117</f>
        <v>1143800</v>
      </c>
      <c r="Q117" s="54">
        <f t="shared" ref="Q117" si="341">P117*100/E117</f>
        <v>100</v>
      </c>
      <c r="R117" s="54">
        <f t="shared" ref="R117" si="342">F117-J117-N117</f>
        <v>0</v>
      </c>
      <c r="S117" s="54">
        <f t="shared" ref="S117" si="343">G117-K117-O117</f>
        <v>1143800</v>
      </c>
    </row>
    <row r="118" spans="1:19" ht="45.75" customHeight="1" x14ac:dyDescent="0.5">
      <c r="A118" s="9">
        <v>95</v>
      </c>
      <c r="B118" s="11" t="str">
        <f>[22]รายการสรุป!$E$6</f>
        <v>ระบบส่งน้ำและอาคารประกอบโครงการระบายน้ำแม่พริก(ผาวิ่งชู้) ต.แม่พริก อ.แม่พริก จ.ลำปาง(ระบบชลประทานและอาคารประกอบ)</v>
      </c>
      <c r="C118" s="56" t="str">
        <f>[22]รายการสรุป!$I$6</f>
        <v>0700349053420195</v>
      </c>
      <c r="D118" s="64" t="s">
        <v>26</v>
      </c>
      <c r="E118" s="54">
        <f t="shared" ref="E118:E119" si="344">F118+G118</f>
        <v>1300100</v>
      </c>
      <c r="F118" s="54">
        <v>0</v>
      </c>
      <c r="G118" s="55">
        <f>[23]รายการสรุป!$J$6</f>
        <v>1300100</v>
      </c>
      <c r="H118" s="54">
        <f t="shared" ref="H118:H119" si="345">J118+K118</f>
        <v>0</v>
      </c>
      <c r="I118" s="54">
        <f t="shared" ref="I118:I119" si="346">H118*100/E118</f>
        <v>0</v>
      </c>
      <c r="J118" s="54">
        <v>0</v>
      </c>
      <c r="K118" s="54"/>
      <c r="L118" s="54">
        <f t="shared" ref="L118:L119" si="347">N118+O118</f>
        <v>0</v>
      </c>
      <c r="M118" s="54">
        <f t="shared" ref="M118:M119" si="348">L118*100/E118</f>
        <v>0</v>
      </c>
      <c r="N118" s="54">
        <v>0</v>
      </c>
      <c r="O118" s="54">
        <v>0</v>
      </c>
      <c r="P118" s="54">
        <f t="shared" ref="P118:P120" si="349">R118+S118</f>
        <v>1300100</v>
      </c>
      <c r="Q118" s="54">
        <f t="shared" ref="Q118:Q119" si="350">P118*100/E118</f>
        <v>100</v>
      </c>
      <c r="R118" s="54">
        <f t="shared" ref="R118:R120" si="351">F118-J118-N118</f>
        <v>0</v>
      </c>
      <c r="S118" s="54">
        <f t="shared" ref="S118:S120" si="352">G118-K118-O118</f>
        <v>1300100</v>
      </c>
    </row>
    <row r="119" spans="1:19" ht="50.25" customHeight="1" x14ac:dyDescent="0.5">
      <c r="A119" s="9">
        <v>96</v>
      </c>
      <c r="B119" s="11" t="str">
        <f>[22]รายการสรุป!$E$7</f>
        <v>อ่างเก็บน้ำห้วยรูอันเนื่องมาจากพระราชดำริ ต.งิม อ.ปง จ.พะเยา(หัวงานและอาคารประกอบอาคารที่ทำการและบ้านพักส่วนประกอบอื่น</v>
      </c>
      <c r="C119" s="56" t="str">
        <f>[22]รายการสรุป!$I$7</f>
        <v>0700349053420195</v>
      </c>
      <c r="D119" s="64" t="s">
        <v>26</v>
      </c>
      <c r="E119" s="54">
        <f t="shared" si="344"/>
        <v>555600</v>
      </c>
      <c r="F119" s="54">
        <v>0</v>
      </c>
      <c r="G119" s="55">
        <f>[22]รายการสรุป!$J$7</f>
        <v>555600</v>
      </c>
      <c r="H119" s="54">
        <f t="shared" si="345"/>
        <v>0</v>
      </c>
      <c r="I119" s="54">
        <f t="shared" si="346"/>
        <v>0</v>
      </c>
      <c r="J119" s="54">
        <v>0</v>
      </c>
      <c r="K119" s="54"/>
      <c r="L119" s="54">
        <f t="shared" si="347"/>
        <v>0</v>
      </c>
      <c r="M119" s="54">
        <f t="shared" si="348"/>
        <v>0</v>
      </c>
      <c r="N119" s="54">
        <v>0</v>
      </c>
      <c r="O119" s="54">
        <v>0</v>
      </c>
      <c r="P119" s="54">
        <f t="shared" si="349"/>
        <v>555600</v>
      </c>
      <c r="Q119" s="54">
        <f t="shared" si="350"/>
        <v>100</v>
      </c>
      <c r="R119" s="54">
        <f t="shared" si="351"/>
        <v>0</v>
      </c>
      <c r="S119" s="54">
        <f t="shared" si="352"/>
        <v>555600</v>
      </c>
    </row>
    <row r="120" spans="1:19" ht="31.5" customHeight="1" x14ac:dyDescent="0.5">
      <c r="A120" s="9"/>
      <c r="B120" s="18" t="s">
        <v>42</v>
      </c>
      <c r="C120" s="18"/>
      <c r="D120" s="24"/>
      <c r="E120" s="19">
        <f>F120+G120</f>
        <v>5385060</v>
      </c>
      <c r="F120" s="19">
        <f>SUM(F121:F129)</f>
        <v>0</v>
      </c>
      <c r="G120" s="19">
        <f>SUM(G121:G129)</f>
        <v>5385060</v>
      </c>
      <c r="H120" s="19">
        <f>J120+K120</f>
        <v>0</v>
      </c>
      <c r="I120" s="19">
        <f>H120*100/E120</f>
        <v>0</v>
      </c>
      <c r="J120" s="19">
        <f>SUM(J121:J129)</f>
        <v>0</v>
      </c>
      <c r="K120" s="19">
        <f>SUM(K121:K129)</f>
        <v>0</v>
      </c>
      <c r="L120" s="19">
        <f>N120+O120</f>
        <v>0</v>
      </c>
      <c r="M120" s="19">
        <f>L120*100/E120</f>
        <v>0</v>
      </c>
      <c r="N120" s="19">
        <f>SUM(N121:N129)</f>
        <v>0</v>
      </c>
      <c r="O120" s="19">
        <f>SUM(O121:O129)</f>
        <v>0</v>
      </c>
      <c r="P120" s="19">
        <f t="shared" si="349"/>
        <v>5385060</v>
      </c>
      <c r="Q120" s="19">
        <f>P120*100/E120</f>
        <v>100</v>
      </c>
      <c r="R120" s="19">
        <f t="shared" si="351"/>
        <v>0</v>
      </c>
      <c r="S120" s="19">
        <f t="shared" si="352"/>
        <v>5385060</v>
      </c>
    </row>
    <row r="121" spans="1:19" ht="31.5" customHeight="1" x14ac:dyDescent="0.5">
      <c r="A121" s="9">
        <v>97</v>
      </c>
      <c r="B121" s="11" t="str">
        <f>[24]รายการสรุป!$E$5</f>
        <v>อ่างเก็บน้ำน้ำกิ จ.น่าน(ถนนเข้าหัวงาน 8.00กม.)</v>
      </c>
      <c r="C121" s="56" t="str">
        <f>[24]รายการสรุป!$I$5</f>
        <v>0700349053420194</v>
      </c>
      <c r="D121" s="64" t="s">
        <v>26</v>
      </c>
      <c r="E121" s="54">
        <f t="shared" ref="E121" si="353">F121+G121</f>
        <v>518560</v>
      </c>
      <c r="F121" s="54">
        <v>0</v>
      </c>
      <c r="G121" s="55">
        <f>[24]รายการสรุป!$J$5</f>
        <v>518560</v>
      </c>
      <c r="H121" s="54">
        <f t="shared" ref="H121" si="354">J121+K121</f>
        <v>0</v>
      </c>
      <c r="I121" s="54">
        <f t="shared" ref="I121" si="355">H121*100/E121</f>
        <v>0</v>
      </c>
      <c r="J121" s="54">
        <v>0</v>
      </c>
      <c r="K121" s="54"/>
      <c r="L121" s="54">
        <f t="shared" ref="L121" si="356">N121+O121</f>
        <v>0</v>
      </c>
      <c r="M121" s="54">
        <f t="shared" ref="M121" si="357">L121*100/E121</f>
        <v>0</v>
      </c>
      <c r="N121" s="54">
        <v>0</v>
      </c>
      <c r="O121" s="54">
        <v>0</v>
      </c>
      <c r="P121" s="54">
        <f t="shared" ref="P121" si="358">R121+S121</f>
        <v>518560</v>
      </c>
      <c r="Q121" s="54">
        <f t="shared" ref="Q121" si="359">P121*100/E121</f>
        <v>100</v>
      </c>
      <c r="R121" s="54">
        <f t="shared" ref="R121" si="360">F121-J121-N121</f>
        <v>0</v>
      </c>
      <c r="S121" s="54">
        <f t="shared" ref="S121" si="361">G121-K121-O121</f>
        <v>518560</v>
      </c>
    </row>
    <row r="122" spans="1:19" ht="48.75" customHeight="1" x14ac:dyDescent="0.5">
      <c r="A122" s="9">
        <v>98</v>
      </c>
      <c r="B122" s="11" t="str">
        <f>[24]รายการสรุป!$E$6</f>
        <v>อ่างเก็บน้ำห้วยรูอันเนื่องมาจากพระราชดำริ ต.งิม อ.ปง จ.พะเยา(หัวงานและอาคารประกอบอาคารที่ทำการและบ้านพักส่วนประกอบอื่น</v>
      </c>
      <c r="C122" s="56" t="str">
        <f>[24]รายการสรุป!$I$6</f>
        <v>0700349053420194</v>
      </c>
      <c r="D122" s="64" t="s">
        <v>26</v>
      </c>
      <c r="E122" s="54">
        <f t="shared" ref="E122:E124" si="362">F122+G122</f>
        <v>1597700</v>
      </c>
      <c r="F122" s="54">
        <v>0</v>
      </c>
      <c r="G122" s="55">
        <f>[24]รายการสรุป!$J$6</f>
        <v>1597700</v>
      </c>
      <c r="H122" s="54">
        <f t="shared" ref="H122:H124" si="363">J122+K122</f>
        <v>0</v>
      </c>
      <c r="I122" s="54">
        <f t="shared" ref="I122:I124" si="364">H122*100/E122</f>
        <v>0</v>
      </c>
      <c r="J122" s="54">
        <v>0</v>
      </c>
      <c r="K122" s="54"/>
      <c r="L122" s="54">
        <f t="shared" ref="L122:L124" si="365">N122+O122</f>
        <v>0</v>
      </c>
      <c r="M122" s="54">
        <f t="shared" ref="M122:M124" si="366">L122*100/E122</f>
        <v>0</v>
      </c>
      <c r="N122" s="54">
        <v>0</v>
      </c>
      <c r="O122" s="54">
        <v>0</v>
      </c>
      <c r="P122" s="54">
        <f t="shared" ref="P122:P130" si="367">R122+S122</f>
        <v>1597700</v>
      </c>
      <c r="Q122" s="54">
        <f t="shared" ref="Q122:Q124" si="368">P122*100/E122</f>
        <v>100</v>
      </c>
      <c r="R122" s="54">
        <f t="shared" ref="R122:R130" si="369">F122-J122-N122</f>
        <v>0</v>
      </c>
      <c r="S122" s="54">
        <f t="shared" ref="S122:S130" si="370">G122-K122-O122</f>
        <v>1597700</v>
      </c>
    </row>
    <row r="123" spans="1:19" ht="49.5" customHeight="1" x14ac:dyDescent="0.5">
      <c r="A123" s="9">
        <v>99</v>
      </c>
      <c r="B123" s="11" t="str">
        <f>[24]รายการสรุป!$E$7</f>
        <v>อ่างเก็บน้ำแม่เมาะ อันเนื่องมาจากพระราชดำริ ต.ปง อ.ปง จ.พะเยา(หัวงานและอาคารประกอบอาคารที่ทำการและบ้านพัก สำรวจปฐพีแหล่งวัสดุ)</v>
      </c>
      <c r="C123" s="56" t="str">
        <f>[24]รายการสรุป!$I$7</f>
        <v>0700349053420194</v>
      </c>
      <c r="D123" s="64" t="s">
        <v>26</v>
      </c>
      <c r="E123" s="54">
        <f t="shared" si="362"/>
        <v>1925700</v>
      </c>
      <c r="F123" s="54">
        <v>0</v>
      </c>
      <c r="G123" s="55">
        <f>[24]รายการสรุป!$J$7</f>
        <v>1925700</v>
      </c>
      <c r="H123" s="54">
        <f t="shared" si="363"/>
        <v>0</v>
      </c>
      <c r="I123" s="54">
        <f t="shared" si="364"/>
        <v>0</v>
      </c>
      <c r="J123" s="54">
        <v>0</v>
      </c>
      <c r="K123" s="54"/>
      <c r="L123" s="54">
        <f t="shared" si="365"/>
        <v>0</v>
      </c>
      <c r="M123" s="54">
        <f t="shared" si="366"/>
        <v>0</v>
      </c>
      <c r="N123" s="54">
        <v>0</v>
      </c>
      <c r="O123" s="54">
        <v>0</v>
      </c>
      <c r="P123" s="54">
        <f t="shared" si="367"/>
        <v>1925700</v>
      </c>
      <c r="Q123" s="54">
        <f t="shared" si="368"/>
        <v>100</v>
      </c>
      <c r="R123" s="54">
        <f t="shared" si="369"/>
        <v>0</v>
      </c>
      <c r="S123" s="54">
        <f t="shared" si="370"/>
        <v>1925700</v>
      </c>
    </row>
    <row r="124" spans="1:19" ht="31.5" customHeight="1" x14ac:dyDescent="0.5">
      <c r="A124" s="9">
        <v>100</v>
      </c>
      <c r="B124" s="11" t="str">
        <f>[24]รายการสรุป!$E$8</f>
        <v>อ่างเก็บน้ำห้วยแหน ต.ป่าตัน อ.แม่ทะ จ.ลำปาง</v>
      </c>
      <c r="C124" s="56" t="str">
        <f>[24]รายการสรุป!$I$8</f>
        <v>0700349053420194</v>
      </c>
      <c r="D124" s="64" t="s">
        <v>43</v>
      </c>
      <c r="E124" s="54">
        <f t="shared" si="362"/>
        <v>814500</v>
      </c>
      <c r="F124" s="54">
        <v>0</v>
      </c>
      <c r="G124" s="55">
        <f>[24]รายการสรุป!$J$8</f>
        <v>814500</v>
      </c>
      <c r="H124" s="54">
        <f t="shared" si="363"/>
        <v>0</v>
      </c>
      <c r="I124" s="54">
        <f t="shared" si="364"/>
        <v>0</v>
      </c>
      <c r="J124" s="54">
        <v>0</v>
      </c>
      <c r="K124" s="54"/>
      <c r="L124" s="54">
        <f t="shared" si="365"/>
        <v>0</v>
      </c>
      <c r="M124" s="54">
        <f t="shared" si="366"/>
        <v>0</v>
      </c>
      <c r="N124" s="54">
        <v>0</v>
      </c>
      <c r="O124" s="54">
        <v>0</v>
      </c>
      <c r="P124" s="54">
        <f t="shared" si="367"/>
        <v>814500</v>
      </c>
      <c r="Q124" s="54">
        <f t="shared" si="368"/>
        <v>100</v>
      </c>
      <c r="R124" s="54">
        <f t="shared" si="369"/>
        <v>0</v>
      </c>
      <c r="S124" s="54">
        <f t="shared" si="370"/>
        <v>814500</v>
      </c>
    </row>
    <row r="125" spans="1:19" ht="31.5" customHeight="1" x14ac:dyDescent="0.5">
      <c r="A125" s="9">
        <v>101</v>
      </c>
      <c r="B125" s="11" t="str">
        <f>[25]รายการสรุป!$E$9</f>
        <v>อ่างเก็บน้ำห้วยเดื่ออันเนื่องมาจากพระราชดำริ ต.บ้านแลง อ.เมือง จ.ลำปาง</v>
      </c>
      <c r="C125" s="56" t="str">
        <f>[25]รายการสรุป!$I$9</f>
        <v>0700349053420194</v>
      </c>
      <c r="D125" s="64" t="s">
        <v>26</v>
      </c>
      <c r="E125" s="54">
        <f t="shared" ref="E125" si="371">F125+G125</f>
        <v>86000</v>
      </c>
      <c r="F125" s="54">
        <v>0</v>
      </c>
      <c r="G125" s="55">
        <f>[25]รายการสรุป!$J$9</f>
        <v>86000</v>
      </c>
      <c r="H125" s="54">
        <f t="shared" ref="H125" si="372">J125+K125</f>
        <v>0</v>
      </c>
      <c r="I125" s="54">
        <f t="shared" ref="I125" si="373">H125*100/E125</f>
        <v>0</v>
      </c>
      <c r="J125" s="54">
        <v>0</v>
      </c>
      <c r="K125" s="54"/>
      <c r="L125" s="54">
        <f t="shared" ref="L125" si="374">N125+O125</f>
        <v>0</v>
      </c>
      <c r="M125" s="54">
        <f t="shared" ref="M125" si="375">L125*100/E125</f>
        <v>0</v>
      </c>
      <c r="N125" s="54">
        <v>0</v>
      </c>
      <c r="O125" s="54">
        <v>0</v>
      </c>
      <c r="P125" s="54">
        <f t="shared" ref="P125" si="376">R125+S125</f>
        <v>86000</v>
      </c>
      <c r="Q125" s="54">
        <f t="shared" ref="Q125" si="377">P125*100/E125</f>
        <v>100</v>
      </c>
      <c r="R125" s="54">
        <f t="shared" ref="R125" si="378">F125-J125-N125</f>
        <v>0</v>
      </c>
      <c r="S125" s="54">
        <f t="shared" ref="S125" si="379">G125-K125-O125</f>
        <v>86000</v>
      </c>
    </row>
    <row r="126" spans="1:19" ht="31.5" customHeight="1" x14ac:dyDescent="0.5">
      <c r="A126" s="9">
        <v>102</v>
      </c>
      <c r="B126" s="11" t="str">
        <f>[25]รายการสรุป!$E$10</f>
        <v>อ่างเก็บน้ำแม่ยอนตอนบนอันเนื่องมาจากพระราชดำริ ต.สันดอนแก้ว อ.แม่ทะ จ.ลำปาง</v>
      </c>
      <c r="C126" s="56" t="str">
        <f>[25]รายการสรุป!$I$9</f>
        <v>0700349053420194</v>
      </c>
      <c r="D126" s="64" t="s">
        <v>26</v>
      </c>
      <c r="E126" s="54">
        <f t="shared" ref="E126:E129" si="380">F126+G126</f>
        <v>92000</v>
      </c>
      <c r="F126" s="54">
        <v>0</v>
      </c>
      <c r="G126" s="55">
        <f>[25]รายการสรุป!$J$10</f>
        <v>92000</v>
      </c>
      <c r="H126" s="54">
        <f t="shared" ref="H126:H129" si="381">J126+K126</f>
        <v>0</v>
      </c>
      <c r="I126" s="54">
        <f t="shared" ref="I126:I129" si="382">H126*100/E126</f>
        <v>0</v>
      </c>
      <c r="J126" s="54">
        <v>0</v>
      </c>
      <c r="K126" s="54"/>
      <c r="L126" s="54">
        <f t="shared" ref="L126:L129" si="383">N126+O126</f>
        <v>0</v>
      </c>
      <c r="M126" s="54">
        <f t="shared" ref="M126:M129" si="384">L126*100/E126</f>
        <v>0</v>
      </c>
      <c r="N126" s="54">
        <v>0</v>
      </c>
      <c r="O126" s="54">
        <v>0</v>
      </c>
      <c r="P126" s="54">
        <f t="shared" ref="P126:P129" si="385">R126+S126</f>
        <v>92000</v>
      </c>
      <c r="Q126" s="54">
        <f t="shared" ref="Q126:Q129" si="386">P126*100/E126</f>
        <v>100</v>
      </c>
      <c r="R126" s="54">
        <f t="shared" ref="R126:R129" si="387">F126-J126-N126</f>
        <v>0</v>
      </c>
      <c r="S126" s="54">
        <f t="shared" ref="S126:S129" si="388">G126-K126-O126</f>
        <v>92000</v>
      </c>
    </row>
    <row r="127" spans="1:19" ht="31.5" customHeight="1" x14ac:dyDescent="0.5">
      <c r="A127" s="9">
        <v>103</v>
      </c>
      <c r="B127" s="11" t="str">
        <f>[25]รายการสรุป!$E$11</f>
        <v>อ่างเก็บน้ำห้วยขี้เหล็กอันเนื่องมาจากพระราชดำริ ต.ครั่ง อ.เชียงของ จ.เชียงราย</v>
      </c>
      <c r="C127" s="56" t="str">
        <f>[25]รายการสรุป!$I$9</f>
        <v>0700349053420194</v>
      </c>
      <c r="D127" s="64" t="s">
        <v>26</v>
      </c>
      <c r="E127" s="54">
        <f t="shared" si="380"/>
        <v>92400</v>
      </c>
      <c r="F127" s="54">
        <v>0</v>
      </c>
      <c r="G127" s="55">
        <f>[25]รายการสรุป!$J$11</f>
        <v>92400</v>
      </c>
      <c r="H127" s="54">
        <f t="shared" si="381"/>
        <v>0</v>
      </c>
      <c r="I127" s="54">
        <f t="shared" si="382"/>
        <v>0</v>
      </c>
      <c r="J127" s="54">
        <v>0</v>
      </c>
      <c r="K127" s="54"/>
      <c r="L127" s="54">
        <f t="shared" si="383"/>
        <v>0</v>
      </c>
      <c r="M127" s="54">
        <f t="shared" si="384"/>
        <v>0</v>
      </c>
      <c r="N127" s="54">
        <v>0</v>
      </c>
      <c r="O127" s="54">
        <v>0</v>
      </c>
      <c r="P127" s="54">
        <f t="shared" si="385"/>
        <v>92400</v>
      </c>
      <c r="Q127" s="54">
        <f t="shared" si="386"/>
        <v>100</v>
      </c>
      <c r="R127" s="54">
        <f t="shared" si="387"/>
        <v>0</v>
      </c>
      <c r="S127" s="54">
        <f t="shared" si="388"/>
        <v>92400</v>
      </c>
    </row>
    <row r="128" spans="1:19" ht="31.5" customHeight="1" x14ac:dyDescent="0.5">
      <c r="A128" s="9">
        <v>104</v>
      </c>
      <c r="B128" s="11" t="str">
        <f>[25]รายการสรุป!$E$12</f>
        <v>อ่างเก็บน้ำแม่ทานอันเนื่องมาจากพระราชดำริ ต.แม่ทะ อ.สบปราบ จ.ลำปาง</v>
      </c>
      <c r="C128" s="56" t="str">
        <f>[25]รายการสรุป!$I$9</f>
        <v>0700349053420194</v>
      </c>
      <c r="D128" s="64" t="s">
        <v>26</v>
      </c>
      <c r="E128" s="54">
        <f t="shared" si="380"/>
        <v>153900</v>
      </c>
      <c r="F128" s="54">
        <v>0</v>
      </c>
      <c r="G128" s="55">
        <f>[25]รายการสรุป!$J$12</f>
        <v>153900</v>
      </c>
      <c r="H128" s="54">
        <f t="shared" si="381"/>
        <v>0</v>
      </c>
      <c r="I128" s="54">
        <f t="shared" si="382"/>
        <v>0</v>
      </c>
      <c r="J128" s="54">
        <v>0</v>
      </c>
      <c r="K128" s="54"/>
      <c r="L128" s="54">
        <f t="shared" si="383"/>
        <v>0</v>
      </c>
      <c r="M128" s="54">
        <f t="shared" si="384"/>
        <v>0</v>
      </c>
      <c r="N128" s="54">
        <v>0</v>
      </c>
      <c r="O128" s="54">
        <v>0</v>
      </c>
      <c r="P128" s="54">
        <f t="shared" si="385"/>
        <v>153900</v>
      </c>
      <c r="Q128" s="54">
        <f t="shared" si="386"/>
        <v>100</v>
      </c>
      <c r="R128" s="54">
        <f t="shared" si="387"/>
        <v>0</v>
      </c>
      <c r="S128" s="54">
        <f t="shared" si="388"/>
        <v>153900</v>
      </c>
    </row>
    <row r="129" spans="1:19" ht="31.5" customHeight="1" x14ac:dyDescent="0.5">
      <c r="A129" s="9">
        <v>105</v>
      </c>
      <c r="B129" s="11" t="str">
        <f>[25]รายการสรุป!$E$13</f>
        <v>อ่างเก็บน้ำบ้านแม่แก่ง ต.แม่ถอด อ.เถิน จ.ลำปาง</v>
      </c>
      <c r="C129" s="56" t="str">
        <f>[25]รายการสรุป!$I$9</f>
        <v>0700349053420194</v>
      </c>
      <c r="D129" s="64" t="s">
        <v>26</v>
      </c>
      <c r="E129" s="54">
        <f t="shared" si="380"/>
        <v>104300</v>
      </c>
      <c r="F129" s="54">
        <v>0</v>
      </c>
      <c r="G129" s="55">
        <f>[25]รายการสรุป!$J$13</f>
        <v>104300</v>
      </c>
      <c r="H129" s="54">
        <f t="shared" si="381"/>
        <v>0</v>
      </c>
      <c r="I129" s="54">
        <f t="shared" si="382"/>
        <v>0</v>
      </c>
      <c r="J129" s="54">
        <v>0</v>
      </c>
      <c r="K129" s="54"/>
      <c r="L129" s="54">
        <f t="shared" si="383"/>
        <v>0</v>
      </c>
      <c r="M129" s="54">
        <f t="shared" si="384"/>
        <v>0</v>
      </c>
      <c r="N129" s="54">
        <v>0</v>
      </c>
      <c r="O129" s="54">
        <v>0</v>
      </c>
      <c r="P129" s="54">
        <f t="shared" si="385"/>
        <v>104300</v>
      </c>
      <c r="Q129" s="54">
        <f t="shared" si="386"/>
        <v>100</v>
      </c>
      <c r="R129" s="54">
        <f t="shared" si="387"/>
        <v>0</v>
      </c>
      <c r="S129" s="54">
        <f t="shared" si="388"/>
        <v>104300</v>
      </c>
    </row>
    <row r="130" spans="1:19" ht="31.5" customHeight="1" x14ac:dyDescent="0.5">
      <c r="A130" s="9"/>
      <c r="B130" s="18" t="s">
        <v>46</v>
      </c>
      <c r="C130" s="18"/>
      <c r="D130" s="24"/>
      <c r="E130" s="19">
        <f>F130+G130</f>
        <v>3394100</v>
      </c>
      <c r="F130" s="19">
        <f>SUM(F131:F133)</f>
        <v>0</v>
      </c>
      <c r="G130" s="19">
        <f>SUM(G131:G133)</f>
        <v>3394100</v>
      </c>
      <c r="H130" s="19">
        <f>J130+K130</f>
        <v>0</v>
      </c>
      <c r="I130" s="19">
        <f>H130*100/E130</f>
        <v>0</v>
      </c>
      <c r="J130" s="19">
        <f>SUM(J131:J133)</f>
        <v>0</v>
      </c>
      <c r="K130" s="19">
        <f>SUM(K131:K133)</f>
        <v>0</v>
      </c>
      <c r="L130" s="19">
        <f>N130+O130</f>
        <v>0</v>
      </c>
      <c r="M130" s="19">
        <f>L130*100/E130</f>
        <v>0</v>
      </c>
      <c r="N130" s="19">
        <f>SUM(N131:N133)</f>
        <v>0</v>
      </c>
      <c r="O130" s="19">
        <f>SUM(O131:O133)</f>
        <v>0</v>
      </c>
      <c r="P130" s="19">
        <f t="shared" si="367"/>
        <v>3394100</v>
      </c>
      <c r="Q130" s="19">
        <f>P130*100/E130</f>
        <v>100</v>
      </c>
      <c r="R130" s="19">
        <f t="shared" si="369"/>
        <v>0</v>
      </c>
      <c r="S130" s="19">
        <f t="shared" si="370"/>
        <v>3394100</v>
      </c>
    </row>
    <row r="131" spans="1:19" ht="31.5" customHeight="1" x14ac:dyDescent="0.5">
      <c r="A131" s="9">
        <v>106</v>
      </c>
      <c r="B131" s="11" t="str">
        <f>[26]รายการสรุป!$E$5</f>
        <v>โครงการอ่างเก็บน้ำแม่พริก(ผาวิ่งชู้) จ.ลำปาง(งานปักหลักเขตชลประทาน)</v>
      </c>
      <c r="C131" s="56" t="str">
        <f>[26]รายการสรุป!$I$5</f>
        <v>0700349053420046</v>
      </c>
      <c r="D131" s="64" t="s">
        <v>47</v>
      </c>
      <c r="E131" s="54">
        <f t="shared" ref="E131" si="389">F131+G131</f>
        <v>342100</v>
      </c>
      <c r="F131" s="54">
        <v>0</v>
      </c>
      <c r="G131" s="55">
        <f>[26]รายการสรุป!$J$5</f>
        <v>342100</v>
      </c>
      <c r="H131" s="54">
        <f t="shared" ref="H131" si="390">J131+K131</f>
        <v>0</v>
      </c>
      <c r="I131" s="54">
        <f t="shared" ref="I131" si="391">H131*100/E131</f>
        <v>0</v>
      </c>
      <c r="J131" s="54">
        <v>0</v>
      </c>
      <c r="K131" s="54"/>
      <c r="L131" s="54">
        <f t="shared" ref="L131" si="392">N131+O131</f>
        <v>0</v>
      </c>
      <c r="M131" s="54">
        <f t="shared" ref="M131" si="393">L131*100/E131</f>
        <v>0</v>
      </c>
      <c r="N131" s="54">
        <v>0</v>
      </c>
      <c r="O131" s="54">
        <v>0</v>
      </c>
      <c r="P131" s="54">
        <f t="shared" ref="P131" si="394">R131+S131</f>
        <v>342100</v>
      </c>
      <c r="Q131" s="54">
        <f t="shared" ref="Q131" si="395">P131*100/E131</f>
        <v>100</v>
      </c>
      <c r="R131" s="54">
        <f t="shared" ref="R131" si="396">F131-J131-N131</f>
        <v>0</v>
      </c>
      <c r="S131" s="54">
        <f t="shared" ref="S131" si="397">G131-K131-O131</f>
        <v>342100</v>
      </c>
    </row>
    <row r="132" spans="1:19" ht="31.5" customHeight="1" x14ac:dyDescent="0.5">
      <c r="A132" s="9">
        <v>107</v>
      </c>
      <c r="B132" s="11" t="str">
        <f>[26]รายการสรุป!$E$6</f>
        <v>โครงการส่งน้ำและบำรุงรักษากิ่วลม-กิ่งคอหมา จ.ลำปาง(งานซ่อมเขตชลประทาน)</v>
      </c>
      <c r="C132" s="56" t="str">
        <f>[26]รายการสรุป!$I$6</f>
        <v>0700349053420046</v>
      </c>
      <c r="D132" s="64" t="s">
        <v>47</v>
      </c>
      <c r="E132" s="54">
        <f t="shared" ref="E132:E133" si="398">F132+G132</f>
        <v>1602000</v>
      </c>
      <c r="F132" s="54">
        <v>0</v>
      </c>
      <c r="G132" s="55">
        <f>[26]รายการสรุป!$J$6</f>
        <v>1602000</v>
      </c>
      <c r="H132" s="54">
        <f t="shared" ref="H132:H133" si="399">J132+K132</f>
        <v>0</v>
      </c>
      <c r="I132" s="54">
        <f t="shared" ref="I132:I133" si="400">H132*100/E132</f>
        <v>0</v>
      </c>
      <c r="J132" s="54">
        <v>0</v>
      </c>
      <c r="K132" s="54"/>
      <c r="L132" s="54">
        <f t="shared" ref="L132:L133" si="401">N132+O132</f>
        <v>0</v>
      </c>
      <c r="M132" s="54">
        <f t="shared" ref="M132:M133" si="402">L132*100/E132</f>
        <v>0</v>
      </c>
      <c r="N132" s="54">
        <v>0</v>
      </c>
      <c r="O132" s="54">
        <v>0</v>
      </c>
      <c r="P132" s="54">
        <f t="shared" ref="P132:P134" si="403">R132+S132</f>
        <v>1602000</v>
      </c>
      <c r="Q132" s="54">
        <f t="shared" ref="Q132:Q133" si="404">P132*100/E132</f>
        <v>100</v>
      </c>
      <c r="R132" s="54">
        <f t="shared" ref="R132:R134" si="405">F132-J132-N132</f>
        <v>0</v>
      </c>
      <c r="S132" s="54">
        <f t="shared" ref="S132:S134" si="406">G132-K132-O132</f>
        <v>1602000</v>
      </c>
    </row>
    <row r="133" spans="1:19" ht="31.5" customHeight="1" x14ac:dyDescent="0.5">
      <c r="A133" s="9">
        <v>108</v>
      </c>
      <c r="B133" s="11" t="str">
        <f>[26]รายการสรุป!$E$7</f>
        <v>โครงการชลประทานเชียงราย(โครงการพัฒนาเกษตรแม่สาย) จ.เชียงราย(งานซ่อมเขตชลประทาน)</v>
      </c>
      <c r="C133" s="56" t="str">
        <f>[26]รายการสรุป!$I$7</f>
        <v>0700349053420046</v>
      </c>
      <c r="D133" s="64" t="s">
        <v>47</v>
      </c>
      <c r="E133" s="54">
        <f t="shared" si="398"/>
        <v>1450000</v>
      </c>
      <c r="F133" s="54">
        <v>0</v>
      </c>
      <c r="G133" s="55">
        <f>[26]รายการสรุป!$J$7</f>
        <v>1450000</v>
      </c>
      <c r="H133" s="54">
        <f t="shared" si="399"/>
        <v>0</v>
      </c>
      <c r="I133" s="54">
        <f t="shared" si="400"/>
        <v>0</v>
      </c>
      <c r="J133" s="54">
        <v>0</v>
      </c>
      <c r="K133" s="54"/>
      <c r="L133" s="54">
        <f t="shared" si="401"/>
        <v>0</v>
      </c>
      <c r="M133" s="54">
        <f t="shared" si="402"/>
        <v>0</v>
      </c>
      <c r="N133" s="54">
        <v>0</v>
      </c>
      <c r="O133" s="54">
        <v>0</v>
      </c>
      <c r="P133" s="54">
        <f t="shared" si="403"/>
        <v>1450000</v>
      </c>
      <c r="Q133" s="54">
        <f t="shared" si="404"/>
        <v>100</v>
      </c>
      <c r="R133" s="54">
        <f t="shared" si="405"/>
        <v>0</v>
      </c>
      <c r="S133" s="54">
        <f t="shared" si="406"/>
        <v>1450000</v>
      </c>
    </row>
    <row r="134" spans="1:19" ht="42" customHeight="1" x14ac:dyDescent="0.5">
      <c r="A134" s="9"/>
      <c r="B134" s="18" t="s">
        <v>52</v>
      </c>
      <c r="C134" s="18"/>
      <c r="D134" s="24"/>
      <c r="E134" s="19">
        <f>F134+G134</f>
        <v>1500000</v>
      </c>
      <c r="F134" s="19">
        <f>F135</f>
        <v>0</v>
      </c>
      <c r="G134" s="19">
        <f>G135</f>
        <v>1500000</v>
      </c>
      <c r="H134" s="19">
        <f>J134+K134</f>
        <v>292541</v>
      </c>
      <c r="I134" s="19">
        <f>H134*100/E134</f>
        <v>19.502733333333332</v>
      </c>
      <c r="J134" s="19">
        <f>J135</f>
        <v>0</v>
      </c>
      <c r="K134" s="19">
        <f>K135</f>
        <v>292541</v>
      </c>
      <c r="L134" s="19">
        <f>N134+O134</f>
        <v>0</v>
      </c>
      <c r="M134" s="19">
        <f>L134*100/E134</f>
        <v>0</v>
      </c>
      <c r="N134" s="19">
        <f>N135</f>
        <v>0</v>
      </c>
      <c r="O134" s="19">
        <f>O135</f>
        <v>0</v>
      </c>
      <c r="P134" s="19">
        <f t="shared" si="403"/>
        <v>1207459</v>
      </c>
      <c r="Q134" s="19">
        <f>P134*100/E134</f>
        <v>80.497266666666661</v>
      </c>
      <c r="R134" s="19">
        <f t="shared" si="405"/>
        <v>0</v>
      </c>
      <c r="S134" s="19">
        <f t="shared" si="406"/>
        <v>1207459</v>
      </c>
    </row>
    <row r="135" spans="1:19" ht="32.25" customHeight="1" x14ac:dyDescent="0.5">
      <c r="A135" s="9">
        <v>109</v>
      </c>
      <c r="B135" s="52" t="str">
        <f>[27]รายการสรุป!$E$5</f>
        <v>ค่าใช้จ่ายในการบริหารงานจัดหาที่ดิน  ฝ่ายจัดหาที่ดิน 2</v>
      </c>
      <c r="C135" s="56" t="str">
        <f>[27]รายการสรุป!$I$5</f>
        <v>0700349053200062</v>
      </c>
      <c r="D135" s="64" t="s">
        <v>53</v>
      </c>
      <c r="E135" s="54">
        <f t="shared" ref="E135" si="407">F135+G135</f>
        <v>1500000</v>
      </c>
      <c r="F135" s="54">
        <v>0</v>
      </c>
      <c r="G135" s="55">
        <f>[27]รายการสรุป!$J$5</f>
        <v>1500000</v>
      </c>
      <c r="H135" s="54">
        <f t="shared" ref="H135" si="408">J135+K135</f>
        <v>292541</v>
      </c>
      <c r="I135" s="54">
        <f t="shared" ref="I135" si="409">H135*100/E135</f>
        <v>19.502733333333332</v>
      </c>
      <c r="J135" s="54">
        <v>0</v>
      </c>
      <c r="K135" s="54">
        <f>103630+10000+10000+75100+5200+88611</f>
        <v>292541</v>
      </c>
      <c r="L135" s="54">
        <f t="shared" ref="L135" si="410">N135+O135</f>
        <v>0</v>
      </c>
      <c r="M135" s="54">
        <f t="shared" ref="M135" si="411">L135*100/E135</f>
        <v>0</v>
      </c>
      <c r="N135" s="54">
        <v>0</v>
      </c>
      <c r="O135" s="54">
        <v>0</v>
      </c>
      <c r="P135" s="54">
        <f t="shared" ref="P135" si="412">R135+S135</f>
        <v>1207459</v>
      </c>
      <c r="Q135" s="54">
        <f t="shared" ref="Q135" si="413">P135*100/E135</f>
        <v>80.497266666666661</v>
      </c>
      <c r="R135" s="54">
        <f t="shared" ref="R135" si="414">F135-J135-N135</f>
        <v>0</v>
      </c>
      <c r="S135" s="54">
        <f t="shared" ref="S135" si="415">G135-K135-O135</f>
        <v>1207459</v>
      </c>
    </row>
    <row r="136" spans="1:19" ht="30" customHeight="1" x14ac:dyDescent="0.5">
      <c r="A136" s="9"/>
      <c r="B136" s="20" t="s">
        <v>34</v>
      </c>
      <c r="C136" s="20"/>
      <c r="D136" s="23"/>
      <c r="E136" s="21">
        <f>G136+F136</f>
        <v>31864054</v>
      </c>
      <c r="F136" s="22">
        <f>F137+F141</f>
        <v>29488400</v>
      </c>
      <c r="G136" s="21">
        <f>G137+G141</f>
        <v>2375654</v>
      </c>
      <c r="H136" s="22">
        <f>K136+J136</f>
        <v>0</v>
      </c>
      <c r="I136" s="22">
        <f>H136*100/E136</f>
        <v>0</v>
      </c>
      <c r="J136" s="22">
        <f>J137+J141</f>
        <v>0</v>
      </c>
      <c r="K136" s="22">
        <f>K137+K141</f>
        <v>0</v>
      </c>
      <c r="L136" s="22">
        <f>O136+N136</f>
        <v>0</v>
      </c>
      <c r="M136" s="20"/>
      <c r="N136" s="22">
        <f>N137+N141</f>
        <v>0</v>
      </c>
      <c r="O136" s="22">
        <f>O137+O141</f>
        <v>0</v>
      </c>
      <c r="P136" s="22">
        <f>S136+R136</f>
        <v>31864054</v>
      </c>
      <c r="Q136" s="21">
        <f>P136*100/E136</f>
        <v>100</v>
      </c>
      <c r="R136" s="22">
        <f>F136-J136-N136</f>
        <v>29488400</v>
      </c>
      <c r="S136" s="22">
        <f>G136-K136-O136</f>
        <v>2375654</v>
      </c>
    </row>
    <row r="137" spans="1:19" ht="30" customHeight="1" x14ac:dyDescent="0.5">
      <c r="A137" s="9"/>
      <c r="B137" s="18" t="s">
        <v>39</v>
      </c>
      <c r="C137" s="18"/>
      <c r="D137" s="24"/>
      <c r="E137" s="19">
        <f>G137+F137</f>
        <v>29997500</v>
      </c>
      <c r="F137" s="19">
        <f>SUM(F138:F140)</f>
        <v>29488400</v>
      </c>
      <c r="G137" s="19">
        <f>SUM(G138:G140)</f>
        <v>509100</v>
      </c>
      <c r="H137" s="19">
        <f>K137+J137</f>
        <v>0</v>
      </c>
      <c r="I137" s="19">
        <f>H137*100/E137</f>
        <v>0</v>
      </c>
      <c r="J137" s="19">
        <f>SUM(J138:J140)</f>
        <v>0</v>
      </c>
      <c r="K137" s="19">
        <f>SUM(K138:K140)</f>
        <v>0</v>
      </c>
      <c r="L137" s="19">
        <f>N137+O137</f>
        <v>0</v>
      </c>
      <c r="M137" s="19">
        <f>L137*100/E137</f>
        <v>0</v>
      </c>
      <c r="N137" s="19">
        <f>SUM(N138:N140)</f>
        <v>0</v>
      </c>
      <c r="O137" s="19">
        <f>SUM(O138:O140)</f>
        <v>0</v>
      </c>
      <c r="P137" s="19">
        <f t="shared" ref="P137" si="416">R137+S137</f>
        <v>29997500</v>
      </c>
      <c r="Q137" s="19">
        <f>P137*100/E137</f>
        <v>100</v>
      </c>
      <c r="R137" s="19">
        <f t="shared" ref="R137" si="417">F137-J137-N137</f>
        <v>29488400</v>
      </c>
      <c r="S137" s="19">
        <f t="shared" ref="S137" si="418">G137-K137-O137</f>
        <v>509100</v>
      </c>
    </row>
    <row r="138" spans="1:19" ht="30" customHeight="1" x14ac:dyDescent="0.5">
      <c r="A138" s="9">
        <v>110</v>
      </c>
      <c r="B138" s="11" t="str">
        <f>[28]รายการสรุป!$E$5</f>
        <v>เขื่อนหัวงานและอาคารประกอบพร้อมส่วนประกอบอื่นโครงการปับปรุงเขื่อนแม่สรวย จ.เชียงราย</v>
      </c>
      <c r="C138" s="11" t="str">
        <f>[28]รายการสรุป!$I$5</f>
        <v>0700349054420038</v>
      </c>
      <c r="D138" s="15" t="s">
        <v>35</v>
      </c>
      <c r="E138" s="54">
        <f t="shared" ref="E138" si="419">F138+G138</f>
        <v>29090300</v>
      </c>
      <c r="F138" s="54">
        <f>[28]รายการสรุป!$J$5</f>
        <v>29090300</v>
      </c>
      <c r="G138" s="55">
        <v>0</v>
      </c>
      <c r="H138" s="54">
        <f t="shared" ref="H138" si="420">J138+K138</f>
        <v>0</v>
      </c>
      <c r="I138" s="54">
        <f t="shared" ref="I138" si="421">H138*100/E138</f>
        <v>0</v>
      </c>
      <c r="J138" s="54">
        <v>0</v>
      </c>
      <c r="K138" s="54"/>
      <c r="L138" s="54">
        <f t="shared" ref="L138" si="422">N138+O138</f>
        <v>0</v>
      </c>
      <c r="M138" s="54">
        <f t="shared" ref="M138" si="423">L138*100/E138</f>
        <v>0</v>
      </c>
      <c r="N138" s="54">
        <v>0</v>
      </c>
      <c r="O138" s="54">
        <v>0</v>
      </c>
      <c r="P138" s="54">
        <f t="shared" ref="P138" si="424">R138+S138</f>
        <v>29090300</v>
      </c>
      <c r="Q138" s="54">
        <f t="shared" ref="Q138" si="425">P138*100/E138</f>
        <v>100</v>
      </c>
      <c r="R138" s="54">
        <f t="shared" ref="R138" si="426">F138-J138-N138</f>
        <v>29090300</v>
      </c>
      <c r="S138" s="54">
        <f t="shared" ref="S138" si="427">G138-K138-O138</f>
        <v>0</v>
      </c>
    </row>
    <row r="139" spans="1:19" ht="47.25" customHeight="1" x14ac:dyDescent="0.5">
      <c r="A139" s="9">
        <v>111</v>
      </c>
      <c r="B139" s="11" t="str">
        <f>[28]รายการสรุป!$E$6</f>
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139" s="11" t="str">
        <f>[28]รายการสรุป!$I$6</f>
        <v>0700349054420039</v>
      </c>
      <c r="D139" s="15" t="s">
        <v>35</v>
      </c>
      <c r="E139" s="54">
        <f t="shared" ref="E139:E140" si="428">F139+G139</f>
        <v>398100</v>
      </c>
      <c r="F139" s="54">
        <f>[28]รายการสรุป!$J$6</f>
        <v>398100</v>
      </c>
      <c r="G139" s="55">
        <v>0</v>
      </c>
      <c r="H139" s="54">
        <f t="shared" ref="H139:H140" si="429">J139+K139</f>
        <v>0</v>
      </c>
      <c r="I139" s="54">
        <f t="shared" ref="I139:I140" si="430">H139*100/E139</f>
        <v>0</v>
      </c>
      <c r="J139" s="54">
        <v>0</v>
      </c>
      <c r="K139" s="54"/>
      <c r="L139" s="54">
        <f t="shared" ref="L139:L140" si="431">N139+O139</f>
        <v>0</v>
      </c>
      <c r="M139" s="54">
        <f t="shared" ref="M139:M140" si="432">L139*100/E139</f>
        <v>0</v>
      </c>
      <c r="N139" s="54">
        <v>0</v>
      </c>
      <c r="O139" s="54">
        <v>0</v>
      </c>
      <c r="P139" s="54">
        <f t="shared" ref="P139:P142" si="433">R139+S139</f>
        <v>398100</v>
      </c>
      <c r="Q139" s="54">
        <f t="shared" ref="Q139:Q140" si="434">P139*100/E139</f>
        <v>100</v>
      </c>
      <c r="R139" s="54">
        <f t="shared" ref="R139:R142" si="435">F139-J139-N139</f>
        <v>398100</v>
      </c>
      <c r="S139" s="54">
        <f t="shared" ref="S139:S142" si="436">G139-K139-O139</f>
        <v>0</v>
      </c>
    </row>
    <row r="140" spans="1:19" ht="47.25" customHeight="1" x14ac:dyDescent="0.5">
      <c r="A140" s="9">
        <v>112</v>
      </c>
      <c r="B140" s="11" t="str">
        <f>[28]รายการสรุป!$E$7</f>
        <v>ค่าควบคุมงานจ้างเหมาเขื่อนหัวงานและอาคารประกอบพร้อมส่วนประกอบอื่นโครงการปรับปรุงเขื่อนแม่สรวย จ.เชียงราย</v>
      </c>
      <c r="C140" s="11" t="str">
        <f>[28]รายการสรุป!$I$7</f>
        <v>0700349054410024</v>
      </c>
      <c r="D140" s="15" t="s">
        <v>35</v>
      </c>
      <c r="E140" s="54">
        <f t="shared" si="428"/>
        <v>509100</v>
      </c>
      <c r="F140" s="54">
        <v>0</v>
      </c>
      <c r="G140" s="55">
        <f>[28]รายการสรุป!$J$7</f>
        <v>509100</v>
      </c>
      <c r="H140" s="54">
        <f t="shared" si="429"/>
        <v>0</v>
      </c>
      <c r="I140" s="54">
        <f t="shared" si="430"/>
        <v>0</v>
      </c>
      <c r="J140" s="54">
        <v>0</v>
      </c>
      <c r="K140" s="54"/>
      <c r="L140" s="54">
        <f t="shared" si="431"/>
        <v>0</v>
      </c>
      <c r="M140" s="54">
        <f t="shared" si="432"/>
        <v>0</v>
      </c>
      <c r="N140" s="54">
        <v>0</v>
      </c>
      <c r="O140" s="54">
        <v>0</v>
      </c>
      <c r="P140" s="54">
        <f t="shared" si="433"/>
        <v>509100</v>
      </c>
      <c r="Q140" s="54">
        <f t="shared" si="434"/>
        <v>100</v>
      </c>
      <c r="R140" s="54">
        <f t="shared" si="435"/>
        <v>0</v>
      </c>
      <c r="S140" s="54">
        <f t="shared" si="436"/>
        <v>509100</v>
      </c>
    </row>
    <row r="141" spans="1:19" ht="31.5" customHeight="1" x14ac:dyDescent="0.5">
      <c r="A141" s="9"/>
      <c r="B141" s="18" t="s">
        <v>40</v>
      </c>
      <c r="C141" s="18"/>
      <c r="D141" s="24"/>
      <c r="E141" s="19">
        <f>G141+F141</f>
        <v>1866554</v>
      </c>
      <c r="F141" s="19">
        <f>SUM(F142:F144)</f>
        <v>0</v>
      </c>
      <c r="G141" s="19">
        <f>SUM(G142:G144)</f>
        <v>1866554</v>
      </c>
      <c r="H141" s="19">
        <f>K141+J141</f>
        <v>0</v>
      </c>
      <c r="I141" s="19">
        <f>H141*100/E141</f>
        <v>0</v>
      </c>
      <c r="J141" s="19">
        <f>SUM(J142:J144)</f>
        <v>0</v>
      </c>
      <c r="K141" s="19">
        <f>SUM(K142:K144)</f>
        <v>0</v>
      </c>
      <c r="L141" s="19">
        <f>N141+O141</f>
        <v>0</v>
      </c>
      <c r="M141" s="19">
        <f>L141*100/E141</f>
        <v>0</v>
      </c>
      <c r="N141" s="19">
        <f>SUM(N142:N144)</f>
        <v>0</v>
      </c>
      <c r="O141" s="19">
        <f>SUM(O142:O144)</f>
        <v>0</v>
      </c>
      <c r="P141" s="19">
        <f t="shared" si="433"/>
        <v>1866554</v>
      </c>
      <c r="Q141" s="19">
        <f>P141*100/E141</f>
        <v>100</v>
      </c>
      <c r="R141" s="19">
        <f t="shared" si="435"/>
        <v>0</v>
      </c>
      <c r="S141" s="19">
        <f t="shared" si="436"/>
        <v>1866554</v>
      </c>
    </row>
    <row r="142" spans="1:19" ht="35.25" customHeight="1" x14ac:dyDescent="0.5">
      <c r="A142" s="9">
        <v>113</v>
      </c>
      <c r="B142" s="11" t="str">
        <f>[29]รายการสรุป!$E$5</f>
        <v>ปรับปรุงขยายทางระบายน้ำพร้อมอาคารประกอบแม่น้ำวังด้านท้ายเขื่อนกิ่วลม(ระยะที่2)ต.บ้านแลง อ.เมือง จ.ลำปาง</v>
      </c>
      <c r="C142" s="11" t="str">
        <f>[29]รายการสรุป!$I$5</f>
        <v>0700349054420060</v>
      </c>
      <c r="D142" s="15" t="s">
        <v>38</v>
      </c>
      <c r="E142" s="54">
        <f t="shared" ref="E142" si="437">F142+G142</f>
        <v>640000</v>
      </c>
      <c r="F142" s="54">
        <v>0</v>
      </c>
      <c r="G142" s="55">
        <f>[30]รายการสรุป!$J$5</f>
        <v>640000</v>
      </c>
      <c r="H142" s="54">
        <f t="shared" ref="H142" si="438">J142+K142</f>
        <v>0</v>
      </c>
      <c r="I142" s="54">
        <f t="shared" ref="I142" si="439">H142*100/E142</f>
        <v>0</v>
      </c>
      <c r="J142" s="54">
        <v>0</v>
      </c>
      <c r="K142" s="54"/>
      <c r="L142" s="54">
        <f t="shared" ref="L142" si="440">N142+O142</f>
        <v>0</v>
      </c>
      <c r="M142" s="54">
        <f t="shared" ref="M142" si="441">L142*100/E142</f>
        <v>0</v>
      </c>
      <c r="N142" s="54">
        <v>0</v>
      </c>
      <c r="O142" s="54">
        <v>0</v>
      </c>
      <c r="P142" s="54">
        <f t="shared" si="433"/>
        <v>640000</v>
      </c>
      <c r="Q142" s="54">
        <f t="shared" ref="Q142" si="442">P142*100/E142</f>
        <v>100</v>
      </c>
      <c r="R142" s="54">
        <f t="shared" si="435"/>
        <v>0</v>
      </c>
      <c r="S142" s="54">
        <f t="shared" si="436"/>
        <v>640000</v>
      </c>
    </row>
    <row r="143" spans="1:19" ht="34.5" customHeight="1" x14ac:dyDescent="0.5">
      <c r="A143" s="9">
        <v>114</v>
      </c>
      <c r="B143" s="52" t="str">
        <f>[29]รายการสรุป!$E$6</f>
        <v>ปรับปรุงขยายทางระบายน้ำพร้อมอาคารประกอบท้ายเขื่อนโครงการส่งน้ำและบำรุงรักษากิ่วลม-กิ่วคอหมา จ.ลำปาง</v>
      </c>
      <c r="C143" s="11" t="str">
        <f>[29]รายการสรุป!$I$6</f>
        <v>0700349054420119</v>
      </c>
      <c r="D143" s="15" t="s">
        <v>38</v>
      </c>
      <c r="E143" s="54">
        <f t="shared" ref="E143:E144" si="443">F143+G143</f>
        <v>963000</v>
      </c>
      <c r="F143" s="54">
        <v>0</v>
      </c>
      <c r="G143" s="55">
        <f>[30]รายการสรุป!$J$6</f>
        <v>963000</v>
      </c>
      <c r="H143" s="54">
        <f t="shared" ref="H143:H144" si="444">J143+K143</f>
        <v>0</v>
      </c>
      <c r="I143" s="54">
        <f t="shared" ref="I143:I144" si="445">H143*100/E143</f>
        <v>0</v>
      </c>
      <c r="J143" s="54">
        <v>0</v>
      </c>
      <c r="K143" s="54"/>
      <c r="L143" s="54">
        <f t="shared" ref="L143:L144" si="446">N143+O143</f>
        <v>0</v>
      </c>
      <c r="M143" s="54">
        <f t="shared" ref="M143:M144" si="447">L143*100/E143</f>
        <v>0</v>
      </c>
      <c r="N143" s="54">
        <v>0</v>
      </c>
      <c r="O143" s="54">
        <v>0</v>
      </c>
      <c r="P143" s="54">
        <f t="shared" ref="P143:P144" si="448">R143+S143</f>
        <v>963000</v>
      </c>
      <c r="Q143" s="54">
        <f t="shared" ref="Q143:Q144" si="449">P143*100/E143</f>
        <v>100</v>
      </c>
      <c r="R143" s="54">
        <f t="shared" ref="R143:R144" si="450">F143-J143-N143</f>
        <v>0</v>
      </c>
      <c r="S143" s="54">
        <f t="shared" ref="S143:S144" si="451">G143-K143-O143</f>
        <v>963000</v>
      </c>
    </row>
    <row r="144" spans="1:19" ht="30" customHeight="1" x14ac:dyDescent="0.5">
      <c r="A144" s="9">
        <v>115</v>
      </c>
      <c r="B144" s="11" t="str">
        <f>[29]รายการสรุป!$E$7</f>
        <v>จัดหาและติดตั้งเครื่องมือตรวจวัดพฤติกรรมเขื่อนอ่างเก็บน้ำห้วยแม่แก่ง ต.แม่ถอด อ.เถิน จ.ลำปาง</v>
      </c>
      <c r="C144" s="11" t="str">
        <f>[29]รายการสรุป!$I$7</f>
        <v>0700349054410001</v>
      </c>
      <c r="D144" s="15" t="s">
        <v>26</v>
      </c>
      <c r="E144" s="54">
        <f t="shared" si="443"/>
        <v>263554</v>
      </c>
      <c r="F144" s="54">
        <v>0</v>
      </c>
      <c r="G144" s="55">
        <f>[29]รายการสรุป!$J$7</f>
        <v>263554</v>
      </c>
      <c r="H144" s="54">
        <f t="shared" si="444"/>
        <v>0</v>
      </c>
      <c r="I144" s="54">
        <f t="shared" si="445"/>
        <v>0</v>
      </c>
      <c r="J144" s="54">
        <v>0</v>
      </c>
      <c r="K144" s="54"/>
      <c r="L144" s="54">
        <f t="shared" si="446"/>
        <v>0</v>
      </c>
      <c r="M144" s="54">
        <f t="shared" si="447"/>
        <v>0</v>
      </c>
      <c r="N144" s="54">
        <v>0</v>
      </c>
      <c r="O144" s="54">
        <v>0</v>
      </c>
      <c r="P144" s="54">
        <f t="shared" si="448"/>
        <v>263554</v>
      </c>
      <c r="Q144" s="54">
        <f t="shared" si="449"/>
        <v>100</v>
      </c>
      <c r="R144" s="54">
        <f t="shared" si="450"/>
        <v>0</v>
      </c>
      <c r="S144" s="54">
        <f t="shared" si="451"/>
        <v>263554</v>
      </c>
    </row>
    <row r="145" spans="1:19" ht="39" customHeight="1" x14ac:dyDescent="0.5">
      <c r="A145" s="9"/>
      <c r="B145" s="20" t="s">
        <v>54</v>
      </c>
      <c r="C145" s="20"/>
      <c r="D145" s="23"/>
      <c r="E145" s="21">
        <f>G145+F145</f>
        <v>607300</v>
      </c>
      <c r="F145" s="22">
        <f>SUM(F146)</f>
        <v>0</v>
      </c>
      <c r="G145" s="21">
        <f>SUM(G146)</f>
        <v>607300</v>
      </c>
      <c r="H145" s="22">
        <f>K145+J145</f>
        <v>0</v>
      </c>
      <c r="I145" s="22">
        <f>H145*100/E145</f>
        <v>0</v>
      </c>
      <c r="J145" s="22">
        <f>SUM(J146)</f>
        <v>0</v>
      </c>
      <c r="K145" s="22">
        <f>SUM(K146)</f>
        <v>0</v>
      </c>
      <c r="L145" s="22">
        <f>O145+N145</f>
        <v>0</v>
      </c>
      <c r="M145" s="20"/>
      <c r="N145" s="22">
        <f>SUM(N146)</f>
        <v>0</v>
      </c>
      <c r="O145" s="22">
        <f>SUM(O146)</f>
        <v>0</v>
      </c>
      <c r="P145" s="22">
        <f>S145+R145</f>
        <v>607300</v>
      </c>
      <c r="Q145" s="21">
        <f>P145*100/E145</f>
        <v>100</v>
      </c>
      <c r="R145" s="22">
        <f>F145-J145-N145</f>
        <v>0</v>
      </c>
      <c r="S145" s="22">
        <f>G145-K145-O145</f>
        <v>607300</v>
      </c>
    </row>
    <row r="146" spans="1:19" ht="48.75" customHeight="1" x14ac:dyDescent="0.5">
      <c r="A146" s="53">
        <v>116</v>
      </c>
      <c r="B146" s="11" t="str">
        <f>[31]รายการสรุป!$E$5</f>
        <v>สถานีสูบน้ำด้วยไฟฟ้าพร้อมระบบส่งน้ำบ้านหัวเสือ 2 (จัดหาน้ำสนับสนุนเกษตรแปลงใหญ่ต้นแบบ จังหวัดลำปาง ต.หัวเสือ อ.มาทะ จ.ลำปาง</v>
      </c>
      <c r="C146" s="11" t="str">
        <f>[31]รายการสรุป!$I$5</f>
        <v>07003280A5420018</v>
      </c>
      <c r="D146" s="15" t="s">
        <v>55</v>
      </c>
      <c r="E146" s="54">
        <f t="shared" ref="E146" si="452">F146+G146</f>
        <v>607300</v>
      </c>
      <c r="F146" s="54">
        <v>0</v>
      </c>
      <c r="G146" s="54">
        <f>[31]รายการสรุป!$J$5</f>
        <v>607300</v>
      </c>
      <c r="H146" s="54">
        <f t="shared" ref="H146" si="453">J146+K146</f>
        <v>0</v>
      </c>
      <c r="I146" s="54">
        <f t="shared" ref="I146" si="454">H146*100/E146</f>
        <v>0</v>
      </c>
      <c r="J146" s="54">
        <v>0</v>
      </c>
      <c r="K146" s="54"/>
      <c r="L146" s="54">
        <f t="shared" ref="L146" si="455">N146+O146</f>
        <v>0</v>
      </c>
      <c r="M146" s="54">
        <f t="shared" ref="M146" si="456">L146*100/E146</f>
        <v>0</v>
      </c>
      <c r="N146" s="54">
        <v>0</v>
      </c>
      <c r="O146" s="54">
        <v>0</v>
      </c>
      <c r="P146" s="54">
        <f t="shared" ref="P146" si="457">R146+S146</f>
        <v>607300</v>
      </c>
      <c r="Q146" s="54">
        <f t="shared" ref="Q146" si="458">P146*100/E146</f>
        <v>100</v>
      </c>
      <c r="R146" s="54">
        <f t="shared" ref="R146" si="459">F146-J146-N146</f>
        <v>0</v>
      </c>
      <c r="S146" s="54">
        <f t="shared" ref="S146" si="460">G146-K146-O146</f>
        <v>607300</v>
      </c>
    </row>
    <row r="147" spans="1:19" ht="30.75" customHeight="1" x14ac:dyDescent="0.5">
      <c r="A147" s="9"/>
      <c r="B147" s="11"/>
      <c r="C147" s="11"/>
      <c r="D147" s="15"/>
      <c r="E147" s="56"/>
      <c r="F147" s="56"/>
      <c r="G147" s="57"/>
      <c r="H147" s="54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</row>
    <row r="148" spans="1:19" ht="30.75" customHeight="1" x14ac:dyDescent="0.5">
      <c r="A148" s="9"/>
      <c r="B148" s="11"/>
      <c r="C148" s="11"/>
      <c r="D148" s="15"/>
      <c r="E148" s="56"/>
      <c r="F148" s="56"/>
      <c r="G148" s="57"/>
      <c r="H148" s="54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</row>
    <row r="149" spans="1:19" ht="30.75" customHeight="1" x14ac:dyDescent="0.5">
      <c r="A149" s="9"/>
      <c r="B149" s="11"/>
      <c r="C149" s="11"/>
      <c r="D149" s="15"/>
      <c r="E149" s="56"/>
      <c r="F149" s="56"/>
      <c r="G149" s="57"/>
      <c r="H149" s="54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</row>
    <row r="150" spans="1:19" ht="30" customHeight="1" x14ac:dyDescent="0.5">
      <c r="A150" s="9"/>
      <c r="B150" s="32"/>
      <c r="C150" s="32"/>
      <c r="D150" s="33"/>
      <c r="E150" s="58"/>
      <c r="F150" s="58"/>
      <c r="G150" s="59"/>
      <c r="H150" s="54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</row>
    <row r="151" spans="1:19" ht="33.75" customHeight="1" x14ac:dyDescent="0.5">
      <c r="A151" s="9"/>
      <c r="B151" s="18"/>
      <c r="C151" s="18"/>
      <c r="D151" s="24"/>
      <c r="E151" s="19"/>
      <c r="F151" s="19"/>
      <c r="G151" s="19"/>
      <c r="H151" s="44"/>
      <c r="I151" s="19"/>
      <c r="J151" s="19"/>
      <c r="K151" s="19"/>
      <c r="L151" s="19"/>
      <c r="M151" s="18"/>
      <c r="N151" s="19"/>
      <c r="O151" s="19"/>
      <c r="P151" s="19"/>
      <c r="Q151" s="19"/>
      <c r="R151" s="19"/>
      <c r="S151" s="19"/>
    </row>
    <row r="152" spans="1:19" ht="30" customHeight="1" x14ac:dyDescent="0.5">
      <c r="A152" s="9"/>
      <c r="B152" s="11"/>
      <c r="C152" s="11"/>
      <c r="D152" s="15"/>
      <c r="E152" s="60"/>
      <c r="F152" s="60"/>
      <c r="G152" s="61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</row>
    <row r="153" spans="1:19" ht="30" customHeight="1" x14ac:dyDescent="0.5">
      <c r="A153" s="9"/>
      <c r="B153" s="11"/>
      <c r="C153" s="11"/>
      <c r="D153" s="15"/>
      <c r="E153" s="60"/>
      <c r="F153" s="60"/>
      <c r="G153" s="61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</row>
    <row r="154" spans="1:19" ht="30" customHeight="1" x14ac:dyDescent="0.5">
      <c r="A154" s="9"/>
      <c r="B154" s="11"/>
      <c r="C154" s="11"/>
      <c r="D154" s="15"/>
      <c r="E154" s="60"/>
      <c r="F154" s="60"/>
      <c r="G154" s="61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</row>
    <row r="155" spans="1:19" ht="30" customHeight="1" x14ac:dyDescent="0.5">
      <c r="A155" s="9"/>
      <c r="B155" s="11"/>
      <c r="C155" s="11"/>
      <c r="D155" s="15"/>
      <c r="E155" s="60"/>
      <c r="F155" s="60"/>
      <c r="G155" s="61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</row>
    <row r="156" spans="1:19" ht="50.25" customHeight="1" x14ac:dyDescent="0.5">
      <c r="A156" s="9"/>
      <c r="B156" s="11"/>
      <c r="C156" s="11"/>
      <c r="D156" s="15"/>
      <c r="E156" s="60"/>
      <c r="F156" s="60"/>
      <c r="G156" s="61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</row>
    <row r="157" spans="1:19" ht="30" customHeight="1" x14ac:dyDescent="0.5">
      <c r="A157" s="9"/>
      <c r="B157" s="11"/>
      <c r="C157" s="11"/>
      <c r="D157" s="15"/>
      <c r="E157" s="60"/>
      <c r="F157" s="60"/>
      <c r="G157" s="61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</row>
    <row r="158" spans="1:19" ht="30" customHeight="1" x14ac:dyDescent="0.5">
      <c r="A158" s="9"/>
      <c r="B158" s="11"/>
      <c r="C158" s="11"/>
      <c r="D158" s="15"/>
      <c r="E158" s="60"/>
      <c r="F158" s="60"/>
      <c r="G158" s="61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</row>
    <row r="159" spans="1:19" ht="30" customHeight="1" x14ac:dyDescent="0.5">
      <c r="A159" s="9"/>
      <c r="B159" s="11"/>
      <c r="C159" s="11"/>
      <c r="D159" s="15"/>
      <c r="E159" s="60"/>
      <c r="F159" s="60"/>
      <c r="G159" s="61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</row>
    <row r="160" spans="1:19" ht="30" customHeight="1" x14ac:dyDescent="0.5">
      <c r="A160" s="9"/>
      <c r="B160" s="11"/>
      <c r="C160" s="11"/>
      <c r="D160" s="15"/>
      <c r="E160" s="60"/>
      <c r="F160" s="60"/>
      <c r="G160" s="61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</row>
    <row r="161" spans="1:19" ht="30" customHeight="1" x14ac:dyDescent="0.5">
      <c r="A161" s="9"/>
      <c r="B161" s="11"/>
      <c r="C161" s="11"/>
      <c r="D161" s="15"/>
      <c r="E161" s="60"/>
      <c r="F161" s="60"/>
      <c r="G161" s="61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</row>
    <row r="162" spans="1:19" ht="30" customHeight="1" x14ac:dyDescent="0.5">
      <c r="A162" s="9"/>
      <c r="B162" s="11"/>
      <c r="C162" s="11"/>
      <c r="D162" s="15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</row>
    <row r="163" spans="1:19" ht="30" customHeight="1" x14ac:dyDescent="0.5">
      <c r="A163" s="9"/>
      <c r="B163" s="11"/>
      <c r="C163" s="11"/>
      <c r="D163" s="15"/>
      <c r="E163" s="62"/>
      <c r="F163" s="62"/>
      <c r="G163" s="63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</row>
    <row r="164" spans="1:19" ht="30" customHeight="1" x14ac:dyDescent="0.5">
      <c r="A164" s="9"/>
      <c r="B164" s="11"/>
      <c r="C164" s="11"/>
      <c r="D164" s="15"/>
      <c r="E164" s="62"/>
      <c r="F164" s="62"/>
      <c r="G164" s="63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</row>
    <row r="165" spans="1:19" ht="30" customHeight="1" x14ac:dyDescent="0.5">
      <c r="A165" s="9"/>
      <c r="B165" s="11"/>
      <c r="C165" s="11"/>
      <c r="D165" s="15"/>
      <c r="E165" s="62"/>
      <c r="F165" s="62"/>
      <c r="G165" s="63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</row>
    <row r="166" spans="1:19" ht="30" customHeight="1" x14ac:dyDescent="0.5">
      <c r="A166" s="9"/>
      <c r="B166" s="11"/>
      <c r="C166" s="11"/>
      <c r="D166" s="15"/>
      <c r="E166" s="62"/>
      <c r="F166" s="62"/>
      <c r="G166" s="63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</row>
    <row r="167" spans="1:19" ht="30" customHeight="1" x14ac:dyDescent="0.5">
      <c r="A167" s="9"/>
      <c r="B167" s="18"/>
      <c r="C167" s="18"/>
      <c r="D167" s="24"/>
      <c r="E167" s="19"/>
      <c r="F167" s="19"/>
      <c r="G167" s="19"/>
      <c r="H167" s="44"/>
      <c r="I167" s="19"/>
      <c r="J167" s="19"/>
      <c r="K167" s="19"/>
      <c r="L167" s="19"/>
      <c r="M167" s="18"/>
      <c r="N167" s="19"/>
      <c r="O167" s="19"/>
      <c r="P167" s="19"/>
      <c r="Q167" s="19"/>
      <c r="R167" s="19"/>
      <c r="S167" s="19"/>
    </row>
    <row r="168" spans="1:19" ht="52.5" customHeight="1" x14ac:dyDescent="0.5">
      <c r="A168" s="9"/>
      <c r="B168" s="11"/>
      <c r="C168" s="54"/>
      <c r="D168" s="49"/>
      <c r="E168" s="54"/>
      <c r="F168" s="54"/>
      <c r="G168" s="55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</row>
    <row r="169" spans="1:19" ht="44.25" customHeight="1" x14ac:dyDescent="0.5">
      <c r="A169" s="9"/>
      <c r="B169" s="11"/>
      <c r="C169" s="54"/>
      <c r="D169" s="49"/>
      <c r="E169" s="54"/>
      <c r="F169" s="54"/>
      <c r="G169" s="55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</row>
    <row r="170" spans="1:19" ht="35.25" customHeight="1" x14ac:dyDescent="0.5">
      <c r="A170" s="9"/>
      <c r="B170" s="11"/>
      <c r="C170" s="54"/>
      <c r="D170" s="49"/>
      <c r="E170" s="54"/>
      <c r="F170" s="54"/>
      <c r="G170" s="55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</row>
    <row r="171" spans="1:19" ht="33.75" customHeight="1" x14ac:dyDescent="0.5">
      <c r="A171" s="9"/>
      <c r="B171" s="18"/>
      <c r="C171" s="18"/>
      <c r="D171" s="24"/>
      <c r="E171" s="19"/>
      <c r="F171" s="19"/>
      <c r="G171" s="19"/>
      <c r="H171" s="44"/>
      <c r="I171" s="19"/>
      <c r="J171" s="19"/>
      <c r="K171" s="19"/>
      <c r="L171" s="19"/>
      <c r="M171" s="18"/>
      <c r="N171" s="19"/>
      <c r="O171" s="19"/>
      <c r="P171" s="19"/>
      <c r="Q171" s="19"/>
      <c r="R171" s="19"/>
      <c r="S171" s="19"/>
    </row>
    <row r="172" spans="1:19" ht="39.75" customHeight="1" x14ac:dyDescent="0.5">
      <c r="A172" s="9"/>
      <c r="B172" s="11"/>
      <c r="C172" s="54"/>
      <c r="D172" s="49"/>
      <c r="E172" s="54"/>
      <c r="F172" s="54"/>
      <c r="G172" s="55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</row>
    <row r="173" spans="1:19" ht="29.25" customHeight="1" x14ac:dyDescent="0.5">
      <c r="A173" s="9"/>
      <c r="B173" s="20"/>
      <c r="C173" s="20"/>
      <c r="D173" s="23"/>
      <c r="E173" s="21"/>
      <c r="F173" s="22"/>
      <c r="G173" s="21"/>
      <c r="H173" s="22"/>
      <c r="I173" s="22"/>
      <c r="J173" s="22"/>
      <c r="K173" s="22"/>
      <c r="L173" s="22"/>
      <c r="M173" s="20"/>
      <c r="N173" s="22"/>
      <c r="O173" s="22"/>
      <c r="P173" s="22"/>
      <c r="Q173" s="21"/>
      <c r="R173" s="22"/>
      <c r="S173" s="22"/>
    </row>
    <row r="174" spans="1:19" ht="47.25" customHeight="1" x14ac:dyDescent="0.5">
      <c r="A174" s="9"/>
      <c r="B174" s="11"/>
      <c r="C174" s="54"/>
      <c r="D174" s="49"/>
      <c r="E174" s="54"/>
      <c r="F174" s="54"/>
      <c r="G174" s="55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</row>
    <row r="175" spans="1:19" ht="36" customHeight="1" x14ac:dyDescent="0.5">
      <c r="A175" s="9"/>
      <c r="B175" s="11"/>
      <c r="C175" s="54"/>
      <c r="D175" s="49"/>
      <c r="E175" s="54"/>
      <c r="F175" s="54"/>
      <c r="G175" s="55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</row>
    <row r="176" spans="1:19" ht="30" customHeight="1" x14ac:dyDescent="0.5">
      <c r="A176" s="9"/>
      <c r="B176" s="20"/>
      <c r="C176" s="20"/>
      <c r="D176" s="23"/>
      <c r="E176" s="21"/>
      <c r="F176" s="22"/>
      <c r="G176" s="21"/>
      <c r="H176" s="22"/>
      <c r="I176" s="22"/>
      <c r="J176" s="22"/>
      <c r="K176" s="22"/>
      <c r="L176" s="22"/>
      <c r="M176" s="20"/>
      <c r="N176" s="54"/>
      <c r="O176" s="22"/>
      <c r="P176" s="22"/>
      <c r="Q176" s="21"/>
      <c r="R176" s="22"/>
      <c r="S176" s="22"/>
    </row>
    <row r="177" spans="1:20" ht="30" customHeight="1" x14ac:dyDescent="0.5">
      <c r="A177" s="9"/>
      <c r="B177" s="18"/>
      <c r="C177" s="18"/>
      <c r="D177" s="24"/>
      <c r="E177" s="19"/>
      <c r="F177" s="19"/>
      <c r="G177" s="19"/>
      <c r="H177" s="19"/>
      <c r="I177" s="19"/>
      <c r="J177" s="19"/>
      <c r="K177" s="19"/>
      <c r="L177" s="19"/>
      <c r="M177" s="18"/>
      <c r="N177" s="54"/>
      <c r="O177" s="19"/>
      <c r="P177" s="19"/>
      <c r="Q177" s="19"/>
      <c r="R177" s="19"/>
      <c r="S177" s="19"/>
    </row>
    <row r="178" spans="1:20" ht="49.5" customHeight="1" x14ac:dyDescent="0.5">
      <c r="A178" s="9"/>
      <c r="B178" s="11"/>
      <c r="C178" s="54"/>
      <c r="D178" s="49"/>
      <c r="E178" s="54"/>
      <c r="F178" s="54"/>
      <c r="G178" s="55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</row>
    <row r="179" spans="1:20" ht="30" customHeight="1" x14ac:dyDescent="0.5">
      <c r="A179" s="9"/>
      <c r="B179" s="11"/>
      <c r="C179" s="54"/>
      <c r="D179" s="49"/>
      <c r="E179" s="54"/>
      <c r="F179" s="54"/>
      <c r="G179" s="55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1" t="s">
        <v>18</v>
      </c>
    </row>
    <row r="180" spans="1:20" ht="32.25" customHeight="1" x14ac:dyDescent="0.5">
      <c r="A180" s="9"/>
      <c r="B180" s="11"/>
      <c r="C180" s="54"/>
      <c r="D180" s="49"/>
      <c r="E180" s="54"/>
      <c r="F180" s="54"/>
      <c r="G180" s="55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1" t="s">
        <v>18</v>
      </c>
    </row>
    <row r="181" spans="1:20" ht="30" customHeight="1" x14ac:dyDescent="0.5">
      <c r="A181" s="9"/>
      <c r="B181" s="18"/>
      <c r="C181" s="18"/>
      <c r="D181" s="24"/>
      <c r="E181" s="19"/>
      <c r="F181" s="19"/>
      <c r="G181" s="19"/>
      <c r="H181" s="19"/>
      <c r="I181" s="19"/>
      <c r="J181" s="19"/>
      <c r="K181" s="19"/>
      <c r="L181" s="19"/>
      <c r="M181" s="18"/>
      <c r="N181" s="19"/>
      <c r="O181" s="19"/>
      <c r="P181" s="19"/>
      <c r="Q181" s="19"/>
      <c r="R181" s="19"/>
      <c r="S181" s="19"/>
    </row>
    <row r="182" spans="1:20" ht="33.75" customHeight="1" x14ac:dyDescent="0.5">
      <c r="A182" s="9"/>
      <c r="B182" s="11"/>
      <c r="C182" s="30"/>
      <c r="D182" s="51"/>
      <c r="E182" s="30"/>
      <c r="F182" s="30"/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</row>
    <row r="183" spans="1:20" ht="33.75" customHeight="1" x14ac:dyDescent="0.5">
      <c r="A183" s="9"/>
      <c r="B183" s="11"/>
      <c r="C183" s="30"/>
      <c r="D183" s="51"/>
      <c r="E183" s="30"/>
      <c r="F183" s="30"/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1:20" ht="33.75" customHeight="1" x14ac:dyDescent="0.5">
      <c r="A184" s="9"/>
      <c r="B184" s="11"/>
      <c r="C184" s="30"/>
      <c r="D184" s="51"/>
      <c r="E184" s="30"/>
      <c r="F184" s="30"/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</row>
    <row r="185" spans="1:20" ht="33.75" customHeight="1" x14ac:dyDescent="0.5">
      <c r="A185" s="9"/>
      <c r="B185" s="18"/>
      <c r="C185" s="24"/>
      <c r="D185" s="24"/>
      <c r="E185" s="19"/>
      <c r="F185" s="19"/>
      <c r="G185" s="19"/>
      <c r="H185" s="19"/>
      <c r="I185" s="19"/>
      <c r="J185" s="19"/>
      <c r="K185" s="19"/>
      <c r="L185" s="19"/>
      <c r="M185" s="18"/>
      <c r="N185" s="19"/>
      <c r="O185" s="19"/>
      <c r="P185" s="19"/>
      <c r="Q185" s="19"/>
      <c r="R185" s="19"/>
      <c r="S185" s="19"/>
    </row>
    <row r="186" spans="1:20" ht="33.75" customHeight="1" x14ac:dyDescent="0.5">
      <c r="A186" s="9"/>
      <c r="B186" s="11"/>
      <c r="C186" s="30"/>
      <c r="D186" s="51"/>
      <c r="E186" s="30"/>
      <c r="F186" s="30"/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</row>
    <row r="187" spans="1:20" ht="33.75" customHeight="1" x14ac:dyDescent="0.5">
      <c r="A187" s="9"/>
      <c r="B187" s="11"/>
      <c r="C187" s="30"/>
      <c r="D187" s="51"/>
      <c r="E187" s="30"/>
      <c r="F187" s="30"/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</row>
    <row r="188" spans="1:20" ht="36" customHeight="1" x14ac:dyDescent="0.5">
      <c r="A188" s="9"/>
      <c r="B188" s="11"/>
      <c r="C188" s="30"/>
      <c r="D188" s="51"/>
      <c r="E188" s="30"/>
      <c r="F188" s="30"/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</row>
    <row r="189" spans="1:20" ht="27" customHeight="1" x14ac:dyDescent="0.5">
      <c r="A189" s="9"/>
      <c r="B189" s="18"/>
      <c r="C189" s="24"/>
      <c r="D189" s="24"/>
      <c r="E189" s="19"/>
      <c r="F189" s="19"/>
      <c r="G189" s="19"/>
      <c r="H189" s="19"/>
      <c r="I189" s="19"/>
      <c r="J189" s="19"/>
      <c r="K189" s="19"/>
      <c r="L189" s="19"/>
      <c r="M189" s="18"/>
      <c r="N189" s="19"/>
      <c r="O189" s="19"/>
      <c r="P189" s="19"/>
      <c r="Q189" s="19"/>
      <c r="R189" s="19"/>
      <c r="S189" s="19"/>
    </row>
    <row r="190" spans="1:20" ht="43.5" customHeight="1" x14ac:dyDescent="0.5">
      <c r="A190" s="9"/>
      <c r="B190" s="11"/>
      <c r="C190" s="30"/>
      <c r="D190" s="51"/>
      <c r="E190" s="30"/>
      <c r="F190" s="30"/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</row>
    <row r="191" spans="1:20" ht="31.5" customHeight="1" x14ac:dyDescent="0.5">
      <c r="A191" s="9"/>
      <c r="B191" s="11"/>
      <c r="C191" s="30"/>
      <c r="D191" s="51"/>
      <c r="E191" s="30"/>
      <c r="F191" s="30"/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</row>
    <row r="192" spans="1:20" ht="27.75" customHeight="1" x14ac:dyDescent="0.5">
      <c r="A192" s="12"/>
      <c r="B192" s="12"/>
      <c r="C192" s="34"/>
      <c r="D192" s="34"/>
      <c r="E192" s="8"/>
      <c r="F192" s="8"/>
      <c r="G192" s="17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4" spans="8:19" x14ac:dyDescent="0.5">
      <c r="Q194" s="66" t="s">
        <v>10</v>
      </c>
      <c r="R194" s="66"/>
      <c r="S194" s="66"/>
    </row>
    <row r="195" spans="8:19" x14ac:dyDescent="0.5">
      <c r="H195" s="16"/>
      <c r="Q195" s="66" t="s">
        <v>11</v>
      </c>
      <c r="R195" s="66"/>
      <c r="S195" s="66"/>
    </row>
    <row r="196" spans="8:19" x14ac:dyDescent="0.5">
      <c r="Q196" s="66" t="s">
        <v>12</v>
      </c>
      <c r="R196" s="66"/>
      <c r="S196" s="66"/>
    </row>
    <row r="197" spans="8:19" x14ac:dyDescent="0.5">
      <c r="Q197" s="66" t="s">
        <v>13</v>
      </c>
      <c r="R197" s="66"/>
      <c r="S197" s="66"/>
    </row>
  </sheetData>
  <mergeCells count="11">
    <mergeCell ref="Q194:S194"/>
    <mergeCell ref="Q195:S195"/>
    <mergeCell ref="Q196:S196"/>
    <mergeCell ref="Q197:S197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25"/>
  <sheetViews>
    <sheetView zoomScale="115" zoomScaleNormal="115" workbookViewId="0">
      <pane ySplit="3" topLeftCell="A11" activePane="bottomLeft" state="frozen"/>
      <selection activeCell="O29" sqref="O29"/>
      <selection pane="bottomLeft" activeCell="C14" sqref="C14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5.5" style="1" customWidth="1"/>
    <col min="4" max="4" width="9" style="14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2.5" style="1" customWidth="1"/>
    <col min="11" max="11" width="12.125" style="1" customWidth="1"/>
    <col min="12" max="12" width="12.375" style="1" customWidth="1"/>
    <col min="13" max="13" width="8.25" style="1" customWidth="1"/>
    <col min="14" max="14" width="11" style="1" customWidth="1"/>
    <col min="15" max="15" width="11.875" style="1" customWidth="1"/>
    <col min="16" max="16" width="12.875" style="1" customWidth="1"/>
    <col min="17" max="17" width="7.875" style="1" customWidth="1"/>
    <col min="18" max="18" width="12" style="1" customWidth="1"/>
    <col min="19" max="19" width="12.25" style="1" customWidth="1"/>
    <col min="20" max="16384" width="9" style="1"/>
  </cols>
  <sheetData>
    <row r="1" spans="1:20" ht="33" customHeight="1" x14ac:dyDescent="0.6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x14ac:dyDescent="0.5">
      <c r="A2" s="68"/>
      <c r="B2" s="69"/>
      <c r="C2" s="27" t="s">
        <v>15</v>
      </c>
      <c r="D2" s="77" t="s">
        <v>1</v>
      </c>
      <c r="E2" s="74" t="s">
        <v>2</v>
      </c>
      <c r="F2" s="75"/>
      <c r="G2" s="76"/>
      <c r="H2" s="74" t="s">
        <v>7</v>
      </c>
      <c r="I2" s="75"/>
      <c r="J2" s="75"/>
      <c r="K2" s="76"/>
      <c r="L2" s="74" t="s">
        <v>8</v>
      </c>
      <c r="M2" s="75"/>
      <c r="N2" s="75"/>
      <c r="O2" s="76"/>
      <c r="P2" s="74" t="s">
        <v>9</v>
      </c>
      <c r="Q2" s="75"/>
      <c r="R2" s="75"/>
      <c r="S2" s="76"/>
    </row>
    <row r="3" spans="1:20" ht="26.25" customHeight="1" x14ac:dyDescent="0.5">
      <c r="A3" s="70"/>
      <c r="B3" s="71"/>
      <c r="C3" s="28" t="s">
        <v>16</v>
      </c>
      <c r="D3" s="78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14</v>
      </c>
      <c r="C4" s="4"/>
      <c r="D4" s="4"/>
      <c r="E4" s="5">
        <f>F4+G4</f>
        <v>60047492</v>
      </c>
      <c r="F4" s="5">
        <f>SUM(F5:F18)</f>
        <v>21534200</v>
      </c>
      <c r="G4" s="5">
        <f>SUM(G5:G18)</f>
        <v>38513292</v>
      </c>
      <c r="H4" s="5">
        <f t="shared" ref="H4:H5" si="0">J4+K4</f>
        <v>668850</v>
      </c>
      <c r="I4" s="5">
        <f>H4*100/E4</f>
        <v>1.1138683360830457</v>
      </c>
      <c r="J4" s="5">
        <f>SUM(J5:J18)</f>
        <v>0</v>
      </c>
      <c r="K4" s="5">
        <f>SUM(K5:K18)</f>
        <v>668850</v>
      </c>
      <c r="L4" s="5">
        <f>N4+O4</f>
        <v>0</v>
      </c>
      <c r="M4" s="5">
        <f>L4*100/E4</f>
        <v>0</v>
      </c>
      <c r="N4" s="5">
        <f>SUM(N5:N6)</f>
        <v>0</v>
      </c>
      <c r="O4" s="5">
        <f>SUM(O5:O6)</f>
        <v>0</v>
      </c>
      <c r="P4" s="5">
        <f>E4-H4-L4</f>
        <v>59378642</v>
      </c>
      <c r="Q4" s="5">
        <f>P4*100/E4</f>
        <v>98.886131663916956</v>
      </c>
      <c r="R4" s="5">
        <f>SUM(R5:R7)</f>
        <v>21534200</v>
      </c>
      <c r="S4" s="5">
        <f>G4-K4-O4</f>
        <v>37844442</v>
      </c>
      <c r="T4" s="16">
        <f>I4+Q4</f>
        <v>100</v>
      </c>
    </row>
    <row r="5" spans="1:20" ht="48" customHeight="1" x14ac:dyDescent="0.5">
      <c r="A5" s="13">
        <v>1</v>
      </c>
      <c r="B5" s="11" t="str">
        <f>[32]รายการสรุป!$E$5</f>
        <v>ค่าควบคุมงานจ้างเหมาเขื่อนหัวงานและอาคารประกอบพร้อมส่วนประกอบอื่นโครงการปรับปรุงเขื่อนแม่สรวย จ.เชียงราย</v>
      </c>
      <c r="C5" s="30" t="str">
        <f>[32]รายการสรุป!$I$5</f>
        <v>0700345054410026</v>
      </c>
      <c r="D5" s="29"/>
      <c r="E5" s="30">
        <f t="shared" ref="E5" si="1">F5+G5</f>
        <v>799492</v>
      </c>
      <c r="F5" s="30">
        <v>0</v>
      </c>
      <c r="G5" s="31">
        <v>799492</v>
      </c>
      <c r="H5" s="30">
        <f t="shared" si="0"/>
        <v>0</v>
      </c>
      <c r="I5" s="30">
        <f t="shared" ref="I5" si="2">H5*100/E5</f>
        <v>0</v>
      </c>
      <c r="J5" s="30">
        <v>0</v>
      </c>
      <c r="K5" s="30">
        <v>0</v>
      </c>
      <c r="L5" s="30">
        <f t="shared" ref="L5" si="3">N5+O5</f>
        <v>0</v>
      </c>
      <c r="M5" s="30">
        <f t="shared" ref="M5" si="4">L5*100/E5</f>
        <v>0</v>
      </c>
      <c r="N5" s="30">
        <v>0</v>
      </c>
      <c r="O5" s="30">
        <v>0</v>
      </c>
      <c r="P5" s="30">
        <f t="shared" ref="P5" si="5">R5+S5</f>
        <v>799492</v>
      </c>
      <c r="Q5" s="30">
        <f t="shared" ref="Q5" si="6">P5*100/E5</f>
        <v>100</v>
      </c>
      <c r="R5" s="30">
        <f t="shared" ref="R5:S5" si="7">F5-J5-N5</f>
        <v>0</v>
      </c>
      <c r="S5" s="30">
        <f t="shared" si="7"/>
        <v>799492</v>
      </c>
    </row>
    <row r="6" spans="1:20" ht="47.25" customHeight="1" x14ac:dyDescent="0.5">
      <c r="A6" s="13">
        <v>2</v>
      </c>
      <c r="B6" s="11" t="str">
        <f>[33]รายการสรุป!$E$5</f>
        <v>เขื่อนหัวงานและอาคารประกอบพร้อมส่วนประกอบอื่นโครงการปรับปรุงเขื่อนแม่สรวย จ.เชียงราย</v>
      </c>
      <c r="C6" s="30" t="str">
        <f>[33]รายการสรุป!$I$5</f>
        <v>0700345054420038</v>
      </c>
      <c r="D6" s="29"/>
      <c r="E6" s="30">
        <f t="shared" ref="E6" si="8">F6+G6</f>
        <v>20827200</v>
      </c>
      <c r="F6" s="30">
        <v>20827200</v>
      </c>
      <c r="G6" s="31">
        <v>0</v>
      </c>
      <c r="H6" s="30">
        <f t="shared" ref="H6" si="9">J6+K6</f>
        <v>0</v>
      </c>
      <c r="I6" s="30">
        <f t="shared" ref="I6" si="10">H6*100/E6</f>
        <v>0</v>
      </c>
      <c r="J6" s="30">
        <v>0</v>
      </c>
      <c r="K6" s="30">
        <v>0</v>
      </c>
      <c r="L6" s="30">
        <f t="shared" ref="L6" si="11">N6+O6</f>
        <v>0</v>
      </c>
      <c r="M6" s="30">
        <f t="shared" ref="M6" si="12">L6*100/E6</f>
        <v>0</v>
      </c>
      <c r="N6" s="30">
        <v>0</v>
      </c>
      <c r="O6" s="30">
        <v>0</v>
      </c>
      <c r="P6" s="30">
        <f t="shared" ref="P6" si="13">R6+S6</f>
        <v>20827200</v>
      </c>
      <c r="Q6" s="30">
        <f t="shared" ref="Q6" si="14">P6*100/E6</f>
        <v>100</v>
      </c>
      <c r="R6" s="30">
        <f t="shared" ref="R6" si="15">F6-J6-N6</f>
        <v>20827200</v>
      </c>
      <c r="S6" s="30">
        <f t="shared" ref="S6" si="16">G6-K6-O6</f>
        <v>0</v>
      </c>
    </row>
    <row r="7" spans="1:20" ht="46.5" customHeight="1" x14ac:dyDescent="0.5">
      <c r="A7" s="13">
        <v>3</v>
      </c>
      <c r="B7" s="11" t="str">
        <f>[33]รายการสรุป!$E$6</f>
        <v>ค่าจ้าง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7" s="15" t="str">
        <f>[33]รายการสรุป!$I$6</f>
        <v>0700345054420039</v>
      </c>
      <c r="D7" s="29"/>
      <c r="E7" s="30">
        <f t="shared" ref="E7" si="17">F7+G7</f>
        <v>707000</v>
      </c>
      <c r="F7" s="30">
        <v>707000</v>
      </c>
      <c r="G7" s="31">
        <v>0</v>
      </c>
      <c r="H7" s="30">
        <f t="shared" ref="H7" si="18">J7+K7</f>
        <v>0</v>
      </c>
      <c r="I7" s="30">
        <f t="shared" ref="I7" si="19">H7*100/E7</f>
        <v>0</v>
      </c>
      <c r="J7" s="30">
        <v>0</v>
      </c>
      <c r="K7" s="30">
        <v>0</v>
      </c>
      <c r="L7" s="30">
        <f t="shared" ref="L7" si="20">N7+O7</f>
        <v>0</v>
      </c>
      <c r="M7" s="30">
        <f t="shared" ref="M7" si="21">L7*100/E7</f>
        <v>0</v>
      </c>
      <c r="N7" s="30">
        <v>0</v>
      </c>
      <c r="O7" s="30">
        <v>0</v>
      </c>
      <c r="P7" s="30">
        <f t="shared" ref="P7" si="22">R7+S7</f>
        <v>707000</v>
      </c>
      <c r="Q7" s="30">
        <f t="shared" ref="Q7" si="23">P7*100/E7</f>
        <v>100</v>
      </c>
      <c r="R7" s="30">
        <f t="shared" ref="R7" si="24">F7-J7-N7</f>
        <v>707000</v>
      </c>
      <c r="S7" s="30">
        <f t="shared" ref="S7" si="25">G7-K7-O7</f>
        <v>0</v>
      </c>
    </row>
    <row r="8" spans="1:20" ht="35.25" customHeight="1" x14ac:dyDescent="0.5">
      <c r="A8" s="13">
        <v>4</v>
      </c>
      <c r="B8" s="11" t="s">
        <v>22</v>
      </c>
      <c r="C8" s="45" t="s">
        <v>23</v>
      </c>
      <c r="D8" s="29"/>
      <c r="E8" s="30">
        <f t="shared" ref="E8" si="26">F8+G8</f>
        <v>544900</v>
      </c>
      <c r="F8" s="30">
        <v>0</v>
      </c>
      <c r="G8" s="31">
        <v>544900</v>
      </c>
      <c r="H8" s="30">
        <f t="shared" ref="H8" si="27">J8+K8</f>
        <v>0</v>
      </c>
      <c r="I8" s="30">
        <f t="shared" ref="I8" si="28">H8*100/E8</f>
        <v>0</v>
      </c>
      <c r="J8" s="30">
        <v>0</v>
      </c>
      <c r="K8" s="30">
        <v>0</v>
      </c>
      <c r="L8" s="30">
        <f t="shared" ref="L8" si="29">N8+O8</f>
        <v>0</v>
      </c>
      <c r="M8" s="30">
        <f t="shared" ref="M8" si="30">L8*100/E8</f>
        <v>0</v>
      </c>
      <c r="N8" s="30">
        <v>0</v>
      </c>
      <c r="O8" s="30">
        <v>0</v>
      </c>
      <c r="P8" s="30">
        <f t="shared" ref="P8" si="31">R8+S8</f>
        <v>544900</v>
      </c>
      <c r="Q8" s="30">
        <f t="shared" ref="Q8" si="32">P8*100/E8</f>
        <v>100</v>
      </c>
      <c r="R8" s="30">
        <f t="shared" ref="R8" si="33">F8-J8-N8</f>
        <v>0</v>
      </c>
      <c r="S8" s="30">
        <f t="shared" ref="S8" si="34">G8-K8-O8</f>
        <v>544900</v>
      </c>
    </row>
    <row r="9" spans="1:20" ht="32.25" customHeight="1" x14ac:dyDescent="0.5">
      <c r="A9" s="13">
        <v>5</v>
      </c>
      <c r="B9" s="11" t="str">
        <f>[34]รายการสรุป!$E$5</f>
        <v>ปรับปรุงถนนทางเข้าโครงการส่งน้ำบำรุงรักษากิ่วลม-กิ่วคอหมา อ.เมือง จ.ลำปาง</v>
      </c>
      <c r="C9" s="15" t="str">
        <f>[34]รายการสรุป!$I$5</f>
        <v>07003630X2410003</v>
      </c>
      <c r="D9" s="29"/>
      <c r="E9" s="30">
        <f t="shared" ref="E9:E12" si="35">F9+G9</f>
        <v>1130900</v>
      </c>
      <c r="F9" s="30">
        <v>0</v>
      </c>
      <c r="G9" s="31">
        <v>1130900</v>
      </c>
      <c r="H9" s="30">
        <f t="shared" ref="H9:H12" si="36">J9+K9</f>
        <v>0</v>
      </c>
      <c r="I9" s="30">
        <f t="shared" ref="I9:I12" si="37">H9*100/E9</f>
        <v>0</v>
      </c>
      <c r="J9" s="30">
        <v>0</v>
      </c>
      <c r="K9" s="30">
        <v>0</v>
      </c>
      <c r="L9" s="30">
        <f t="shared" ref="L9:L12" si="38">N9+O9</f>
        <v>0</v>
      </c>
      <c r="M9" s="30">
        <f t="shared" ref="M9:M12" si="39">L9*100/E9</f>
        <v>0</v>
      </c>
      <c r="N9" s="30">
        <v>0</v>
      </c>
      <c r="O9" s="30">
        <v>0</v>
      </c>
      <c r="P9" s="30">
        <f t="shared" ref="P9:P12" si="40">R9+S9</f>
        <v>1130900</v>
      </c>
      <c r="Q9" s="30">
        <f t="shared" ref="Q9:Q12" si="41">P9*100/E9</f>
        <v>100</v>
      </c>
      <c r="R9" s="30">
        <f t="shared" ref="R9:R12" si="42">F9-J9-N9</f>
        <v>0</v>
      </c>
      <c r="S9" s="30">
        <f t="shared" ref="S9:S12" si="43">G9-K9-O9</f>
        <v>1130900</v>
      </c>
    </row>
    <row r="10" spans="1:20" ht="30" customHeight="1" x14ac:dyDescent="0.5">
      <c r="A10" s="13">
        <v>6</v>
      </c>
      <c r="B10" s="11" t="str">
        <f>[34]รายการสรุป!$E$6</f>
        <v>ปรับปรุงถนนภายในโครงการส่งน้ำบำรุงรักษาแม่วัง อ.เมือง จ.ลำปาง</v>
      </c>
      <c r="C10" s="15" t="str">
        <f>[34]รายการสรุป!$I$6</f>
        <v>07003630X2410021</v>
      </c>
      <c r="D10" s="29"/>
      <c r="E10" s="30">
        <f t="shared" si="35"/>
        <v>1500000</v>
      </c>
      <c r="F10" s="30">
        <v>0</v>
      </c>
      <c r="G10" s="31">
        <f>526460.5+973539.5</f>
        <v>1500000</v>
      </c>
      <c r="H10" s="30">
        <f t="shared" si="36"/>
        <v>0</v>
      </c>
      <c r="I10" s="30">
        <f t="shared" si="37"/>
        <v>0</v>
      </c>
      <c r="J10" s="30">
        <v>0</v>
      </c>
      <c r="K10" s="30">
        <v>0</v>
      </c>
      <c r="L10" s="30">
        <f t="shared" si="38"/>
        <v>0</v>
      </c>
      <c r="M10" s="30">
        <f t="shared" si="39"/>
        <v>0</v>
      </c>
      <c r="N10" s="30">
        <v>0</v>
      </c>
      <c r="O10" s="30">
        <v>0</v>
      </c>
      <c r="P10" s="30">
        <f t="shared" si="40"/>
        <v>1500000</v>
      </c>
      <c r="Q10" s="30">
        <f t="shared" si="41"/>
        <v>100</v>
      </c>
      <c r="R10" s="30">
        <f t="shared" si="42"/>
        <v>0</v>
      </c>
      <c r="S10" s="30">
        <f t="shared" si="43"/>
        <v>1500000</v>
      </c>
    </row>
    <row r="11" spans="1:20" ht="44.25" customHeight="1" x14ac:dyDescent="0.5">
      <c r="A11" s="13">
        <v>7</v>
      </c>
      <c r="B11" s="11" t="str">
        <f>[34]รายการสรุป!$E$7</f>
        <v>ปรับปรุงคันคลอง 15.2RMC โครงการส่งน้ำบำรงรักษากิ่วลม-กิ่วคอหมา  อ.เมือง จ.ลำปาง</v>
      </c>
      <c r="C11" s="15" t="str">
        <f>[34]รายการสรุป!$I$7</f>
        <v>07003630X2410129</v>
      </c>
      <c r="D11" s="29"/>
      <c r="E11" s="49">
        <f t="shared" si="35"/>
        <v>3000000</v>
      </c>
      <c r="F11" s="49">
        <v>0</v>
      </c>
      <c r="G11" s="50">
        <f>1300032+1699968</f>
        <v>3000000</v>
      </c>
      <c r="H11" s="49">
        <f t="shared" si="36"/>
        <v>0</v>
      </c>
      <c r="I11" s="49">
        <f t="shared" si="37"/>
        <v>0</v>
      </c>
      <c r="J11" s="49">
        <v>0</v>
      </c>
      <c r="K11" s="49">
        <v>0</v>
      </c>
      <c r="L11" s="49">
        <f t="shared" si="38"/>
        <v>0</v>
      </c>
      <c r="M11" s="49">
        <f t="shared" si="39"/>
        <v>0</v>
      </c>
      <c r="N11" s="49">
        <v>0</v>
      </c>
      <c r="O11" s="49">
        <v>0</v>
      </c>
      <c r="P11" s="49">
        <f t="shared" si="40"/>
        <v>3000000</v>
      </c>
      <c r="Q11" s="49">
        <f t="shared" si="41"/>
        <v>100</v>
      </c>
      <c r="R11" s="49">
        <f t="shared" si="42"/>
        <v>0</v>
      </c>
      <c r="S11" s="49">
        <f t="shared" si="43"/>
        <v>3000000</v>
      </c>
    </row>
    <row r="12" spans="1:20" ht="36.75" customHeight="1" x14ac:dyDescent="0.5">
      <c r="A12" s="13">
        <v>8</v>
      </c>
      <c r="B12" s="11" t="str">
        <f>[35]รายการสรุป!$E$5</f>
        <v>ปรับปรุงถนนทางเข้าหัวงานฝายน้ำปัว โครงการชลประทานน่าน อ.ปัว จ.น่าน</v>
      </c>
      <c r="C12" s="15" t="str">
        <f>[35]รายการสรุป!$I$5</f>
        <v>07003630X2410084</v>
      </c>
      <c r="D12" s="29"/>
      <c r="E12" s="49">
        <f t="shared" si="35"/>
        <v>6000000</v>
      </c>
      <c r="F12" s="49">
        <v>0</v>
      </c>
      <c r="G12" s="50">
        <f>1802182+4197818</f>
        <v>6000000</v>
      </c>
      <c r="H12" s="49">
        <f t="shared" si="36"/>
        <v>0</v>
      </c>
      <c r="I12" s="49">
        <f t="shared" si="37"/>
        <v>0</v>
      </c>
      <c r="J12" s="49">
        <v>0</v>
      </c>
      <c r="K12" s="49">
        <v>0</v>
      </c>
      <c r="L12" s="49">
        <f t="shared" si="38"/>
        <v>0</v>
      </c>
      <c r="M12" s="49">
        <f t="shared" si="39"/>
        <v>0</v>
      </c>
      <c r="N12" s="49">
        <v>0</v>
      </c>
      <c r="O12" s="49">
        <v>0</v>
      </c>
      <c r="P12" s="49">
        <f t="shared" si="40"/>
        <v>6000000</v>
      </c>
      <c r="Q12" s="49">
        <f t="shared" si="41"/>
        <v>100</v>
      </c>
      <c r="R12" s="49">
        <f t="shared" si="42"/>
        <v>0</v>
      </c>
      <c r="S12" s="49">
        <f t="shared" si="43"/>
        <v>6000000</v>
      </c>
    </row>
    <row r="13" spans="1:20" ht="36" customHeight="1" x14ac:dyDescent="0.5">
      <c r="A13" s="13">
        <v>9</v>
      </c>
      <c r="B13" s="11" t="str">
        <f>[35]รายการสรุป!$E$6</f>
        <v>ปรับปรุงคันคลองRMC ฝายน้ำปัว โครงการชลประทานน่าน อ.ปัว จ.น่าน</v>
      </c>
      <c r="C13" s="15" t="str">
        <f>[35]รายการสรุป!$I$6</f>
        <v>07003630X2410132</v>
      </c>
      <c r="D13" s="29"/>
      <c r="E13" s="49">
        <f t="shared" ref="E13:E15" si="44">F13+G13</f>
        <v>8900000</v>
      </c>
      <c r="F13" s="49">
        <v>0</v>
      </c>
      <c r="G13" s="50">
        <f>2510186+6389814</f>
        <v>8900000</v>
      </c>
      <c r="H13" s="49">
        <f t="shared" ref="H13:H15" si="45">J13+K13</f>
        <v>0</v>
      </c>
      <c r="I13" s="49">
        <f t="shared" ref="I13:I15" si="46">H13*100/E13</f>
        <v>0</v>
      </c>
      <c r="J13" s="49">
        <v>0</v>
      </c>
      <c r="K13" s="49">
        <v>0</v>
      </c>
      <c r="L13" s="49">
        <f t="shared" ref="L13:L15" si="47">N13+O13</f>
        <v>0</v>
      </c>
      <c r="M13" s="49">
        <f t="shared" ref="M13:M15" si="48">L13*100/E13</f>
        <v>0</v>
      </c>
      <c r="N13" s="49">
        <v>0</v>
      </c>
      <c r="O13" s="49">
        <v>0</v>
      </c>
      <c r="P13" s="49">
        <f t="shared" ref="P13:P15" si="49">R13+S13</f>
        <v>8900000</v>
      </c>
      <c r="Q13" s="49">
        <f t="shared" ref="Q13:Q15" si="50">P13*100/E13</f>
        <v>100</v>
      </c>
      <c r="R13" s="49">
        <f t="shared" ref="R13:R15" si="51">F13-J13-N13</f>
        <v>0</v>
      </c>
      <c r="S13" s="49">
        <f t="shared" ref="S13:S15" si="52">G13-K13-O13</f>
        <v>8900000</v>
      </c>
    </row>
    <row r="14" spans="1:20" ht="46.5" customHeight="1" x14ac:dyDescent="0.5">
      <c r="A14" s="13">
        <v>10</v>
      </c>
      <c r="B14" s="11" t="str">
        <f>[35]รายการสรุป!$E$7</f>
        <v>ปรับปรุงคันคลอง1R-LMC อ่างเก็บน้ำน้ำแหง โครงการชลประทานน่าน อ.นาน้อย จ.น่าน</v>
      </c>
      <c r="C14" s="15" t="str">
        <f>[35]รายการสรุป!$I$7</f>
        <v>07003630X2410163</v>
      </c>
      <c r="D14" s="29"/>
      <c r="E14" s="49">
        <f t="shared" si="44"/>
        <v>3000000</v>
      </c>
      <c r="F14" s="49">
        <v>0</v>
      </c>
      <c r="G14" s="50">
        <f>578630+2421370</f>
        <v>3000000</v>
      </c>
      <c r="H14" s="49">
        <f t="shared" si="45"/>
        <v>0</v>
      </c>
      <c r="I14" s="49">
        <f t="shared" si="46"/>
        <v>0</v>
      </c>
      <c r="J14" s="49">
        <v>0</v>
      </c>
      <c r="K14" s="49">
        <v>0</v>
      </c>
      <c r="L14" s="49">
        <f t="shared" si="47"/>
        <v>0</v>
      </c>
      <c r="M14" s="49">
        <f t="shared" si="48"/>
        <v>0</v>
      </c>
      <c r="N14" s="49">
        <v>0</v>
      </c>
      <c r="O14" s="49">
        <v>0</v>
      </c>
      <c r="P14" s="49">
        <f t="shared" si="49"/>
        <v>3000000</v>
      </c>
      <c r="Q14" s="49">
        <f t="shared" si="50"/>
        <v>100</v>
      </c>
      <c r="R14" s="49">
        <f t="shared" si="51"/>
        <v>0</v>
      </c>
      <c r="S14" s="49">
        <f t="shared" si="52"/>
        <v>3000000</v>
      </c>
    </row>
    <row r="15" spans="1:20" ht="44.25" customHeight="1" x14ac:dyDescent="0.5">
      <c r="A15" s="13">
        <v>11</v>
      </c>
      <c r="B15" s="11" t="str">
        <f>[36]รายการสรุป!$E$5</f>
        <v>ปรับปรุงถนนบริเวณหัวงานฝ่ายส่งน้ำบำรุงรักษาที่ 5 โครงการชลประทานเชียงราย อ.แม่สาย จ.เชียงราย</v>
      </c>
      <c r="C15" s="15" t="str">
        <f>[36]รายการสรุป!$I$5</f>
        <v>07003630X2410030</v>
      </c>
      <c r="D15" s="29"/>
      <c r="E15" s="49">
        <f t="shared" si="44"/>
        <v>7400000</v>
      </c>
      <c r="F15" s="49">
        <v>0</v>
      </c>
      <c r="G15" s="50">
        <f>2941000+4459000</f>
        <v>7400000</v>
      </c>
      <c r="H15" s="49">
        <f t="shared" si="45"/>
        <v>668850</v>
      </c>
      <c r="I15" s="49">
        <f t="shared" si="46"/>
        <v>9.0385135135135144</v>
      </c>
      <c r="J15" s="49">
        <v>0</v>
      </c>
      <c r="K15" s="49">
        <f>668850</f>
        <v>668850</v>
      </c>
      <c r="L15" s="49">
        <f t="shared" si="47"/>
        <v>0</v>
      </c>
      <c r="M15" s="49">
        <f t="shared" si="48"/>
        <v>0</v>
      </c>
      <c r="N15" s="49">
        <v>0</v>
      </c>
      <c r="O15" s="49">
        <v>0</v>
      </c>
      <c r="P15" s="49">
        <f t="shared" si="49"/>
        <v>6731150</v>
      </c>
      <c r="Q15" s="49">
        <f t="shared" si="50"/>
        <v>90.961486486486493</v>
      </c>
      <c r="R15" s="49">
        <f t="shared" si="51"/>
        <v>0</v>
      </c>
      <c r="S15" s="49">
        <f t="shared" si="52"/>
        <v>6731150</v>
      </c>
    </row>
    <row r="16" spans="1:20" ht="46.5" customHeight="1" x14ac:dyDescent="0.5">
      <c r="A16" s="13">
        <v>12</v>
      </c>
      <c r="B16" s="11" t="str">
        <f>[37]รายการสรุป!$E$5</f>
        <v>ปรับปรุงถนนทางเข้าหัวงานอ่างเก็บน้ำแม่ต๋ำ โครงการชลประทานพะเยา อ.เมือง จ.พะเยา</v>
      </c>
      <c r="C16" s="15" t="str">
        <f>[37]รายการสรุป!$I$5</f>
        <v>07003630X2410164</v>
      </c>
      <c r="D16" s="29"/>
      <c r="E16" s="49">
        <f t="shared" ref="E16:E18" si="53">F16+G16</f>
        <v>6000000</v>
      </c>
      <c r="F16" s="49">
        <v>0</v>
      </c>
      <c r="G16" s="50">
        <f>2551000+3449000</f>
        <v>6000000</v>
      </c>
      <c r="H16" s="49">
        <f t="shared" ref="H16:H18" si="54">J16+K16</f>
        <v>0</v>
      </c>
      <c r="I16" s="49">
        <f t="shared" ref="I16:I18" si="55">H16*100/E16</f>
        <v>0</v>
      </c>
      <c r="J16" s="49">
        <v>0</v>
      </c>
      <c r="K16" s="49">
        <v>0</v>
      </c>
      <c r="L16" s="49">
        <f t="shared" ref="L16:L18" si="56">N16+O16</f>
        <v>0</v>
      </c>
      <c r="M16" s="49">
        <f t="shared" ref="M16:M18" si="57">L16*100/E16</f>
        <v>0</v>
      </c>
      <c r="N16" s="49">
        <v>0</v>
      </c>
      <c r="O16" s="49">
        <v>0</v>
      </c>
      <c r="P16" s="49">
        <f t="shared" ref="P16:P18" si="58">R16+S16</f>
        <v>6000000</v>
      </c>
      <c r="Q16" s="49">
        <f t="shared" ref="Q16:Q18" si="59">P16*100/E16</f>
        <v>100</v>
      </c>
      <c r="R16" s="49">
        <f t="shared" ref="R16:R18" si="60">F16-J16-N16</f>
        <v>0</v>
      </c>
      <c r="S16" s="49">
        <f t="shared" ref="S16:S18" si="61">G16-K16-O16</f>
        <v>6000000</v>
      </c>
    </row>
    <row r="17" spans="1:19" ht="46.5" customHeight="1" x14ac:dyDescent="0.5">
      <c r="A17" s="13">
        <v>13</v>
      </c>
      <c r="B17" s="11" t="str">
        <f>[38]รายการสรุป!$E$5</f>
        <v>ซ่อมแซมพนังป้องกันตลิ่งแม่น้ำวังด้านท้ายเขื่อนกิ่วคอหมาช่วงกม22+950 บ้านม่วงพัฒนา อ.แจ้ห่ม จ.ลำปาง</v>
      </c>
      <c r="C17" s="15" t="str">
        <f>[38]รายการสรุป!$I$5</f>
        <v>07003620A0410038</v>
      </c>
      <c r="D17" s="29"/>
      <c r="E17" s="49">
        <f t="shared" si="53"/>
        <v>132000</v>
      </c>
      <c r="F17" s="49">
        <v>0</v>
      </c>
      <c r="G17" s="50">
        <v>132000</v>
      </c>
      <c r="H17" s="49">
        <f t="shared" si="54"/>
        <v>0</v>
      </c>
      <c r="I17" s="49">
        <f t="shared" si="55"/>
        <v>0</v>
      </c>
      <c r="J17" s="49">
        <v>0</v>
      </c>
      <c r="K17" s="49">
        <v>0</v>
      </c>
      <c r="L17" s="49">
        <f t="shared" si="56"/>
        <v>0</v>
      </c>
      <c r="M17" s="49">
        <f t="shared" si="57"/>
        <v>0</v>
      </c>
      <c r="N17" s="49">
        <v>0</v>
      </c>
      <c r="O17" s="49">
        <v>0</v>
      </c>
      <c r="P17" s="49">
        <f t="shared" si="58"/>
        <v>132000</v>
      </c>
      <c r="Q17" s="49">
        <f t="shared" si="59"/>
        <v>100</v>
      </c>
      <c r="R17" s="49">
        <f t="shared" si="60"/>
        <v>0</v>
      </c>
      <c r="S17" s="49">
        <f t="shared" si="61"/>
        <v>132000</v>
      </c>
    </row>
    <row r="18" spans="1:19" ht="46.5" customHeight="1" x14ac:dyDescent="0.5">
      <c r="A18" s="13">
        <v>14</v>
      </c>
      <c r="B18" s="11" t="str">
        <f>[38]รายการสรุป!$E$6</f>
        <v>ซ่อมแซมพนังป้องกันตลิ่งแม่น้ำวังด้านท้ายเขื่อนกิ่วคอหมาช่วงกม31+420บ้านแป้นโปงชัย อ.แจ้ห่ม จ.ลำปาง</v>
      </c>
      <c r="C18" s="15" t="str">
        <f>[38]รายการสรุป!$I$6</f>
        <v>07003620A0410039</v>
      </c>
      <c r="D18" s="29"/>
      <c r="E18" s="49">
        <f t="shared" si="53"/>
        <v>106000</v>
      </c>
      <c r="F18" s="49">
        <v>0</v>
      </c>
      <c r="G18" s="50">
        <v>106000</v>
      </c>
      <c r="H18" s="49">
        <f t="shared" si="54"/>
        <v>0</v>
      </c>
      <c r="I18" s="49">
        <f t="shared" si="55"/>
        <v>0</v>
      </c>
      <c r="J18" s="49">
        <v>0</v>
      </c>
      <c r="K18" s="49">
        <v>0</v>
      </c>
      <c r="L18" s="49">
        <f t="shared" si="56"/>
        <v>0</v>
      </c>
      <c r="M18" s="49">
        <f t="shared" si="57"/>
        <v>0</v>
      </c>
      <c r="N18" s="49">
        <v>0</v>
      </c>
      <c r="O18" s="49">
        <v>0</v>
      </c>
      <c r="P18" s="49">
        <f t="shared" si="58"/>
        <v>106000</v>
      </c>
      <c r="Q18" s="49">
        <f t="shared" si="59"/>
        <v>100</v>
      </c>
      <c r="R18" s="49">
        <f t="shared" si="60"/>
        <v>0</v>
      </c>
      <c r="S18" s="49">
        <f t="shared" si="61"/>
        <v>106000</v>
      </c>
    </row>
    <row r="19" spans="1:19" ht="30" customHeight="1" x14ac:dyDescent="0.5">
      <c r="A19" s="13"/>
      <c r="B19" s="11"/>
      <c r="C19" s="15"/>
      <c r="D19" s="15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27.75" customHeight="1" x14ac:dyDescent="0.5">
      <c r="A20" s="10"/>
      <c r="B20" s="12"/>
      <c r="C20" s="12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2" spans="1:19" x14ac:dyDescent="0.5">
      <c r="Q22" s="66" t="s">
        <v>10</v>
      </c>
      <c r="R22" s="66"/>
      <c r="S22" s="66"/>
    </row>
    <row r="23" spans="1:19" x14ac:dyDescent="0.5">
      <c r="Q23" s="66" t="s">
        <v>11</v>
      </c>
      <c r="R23" s="66"/>
      <c r="S23" s="66"/>
    </row>
    <row r="24" spans="1:19" x14ac:dyDescent="0.5">
      <c r="Q24" s="66" t="s">
        <v>12</v>
      </c>
      <c r="R24" s="66"/>
      <c r="S24" s="66"/>
    </row>
    <row r="25" spans="1:19" x14ac:dyDescent="0.5">
      <c r="Q25" s="66" t="s">
        <v>13</v>
      </c>
      <c r="R25" s="66"/>
      <c r="S25" s="66"/>
    </row>
  </sheetData>
  <mergeCells count="11">
    <mergeCell ref="Q22:S22"/>
    <mergeCell ref="Q23:S23"/>
    <mergeCell ref="Q24:S24"/>
    <mergeCell ref="Q25:S25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5"/>
  <sheetViews>
    <sheetView zoomScale="115" zoomScaleNormal="115" workbookViewId="0">
      <pane ySplit="3" topLeftCell="A4" activePane="bottomLeft" state="frozen"/>
      <selection activeCell="O29" sqref="O29"/>
      <selection pane="bottomLeft" activeCell="B6" sqref="B6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5.5" style="1" customWidth="1"/>
    <col min="4" max="4" width="9" style="14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2" style="1" customWidth="1"/>
    <col min="19" max="19" width="12.25" style="1" customWidth="1"/>
    <col min="20" max="20" width="14" style="1" customWidth="1"/>
    <col min="21" max="16384" width="9" style="1"/>
  </cols>
  <sheetData>
    <row r="1" spans="1:20" ht="33" customHeight="1" x14ac:dyDescent="0.6">
      <c r="A1" s="67" t="s">
        <v>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x14ac:dyDescent="0.5">
      <c r="A2" s="68"/>
      <c r="B2" s="69"/>
      <c r="C2" s="35" t="s">
        <v>15</v>
      </c>
      <c r="D2" s="77" t="s">
        <v>1</v>
      </c>
      <c r="E2" s="74" t="s">
        <v>2</v>
      </c>
      <c r="F2" s="75"/>
      <c r="G2" s="76"/>
      <c r="H2" s="74" t="s">
        <v>7</v>
      </c>
      <c r="I2" s="75"/>
      <c r="J2" s="75"/>
      <c r="K2" s="76"/>
      <c r="L2" s="74" t="s">
        <v>8</v>
      </c>
      <c r="M2" s="75"/>
      <c r="N2" s="75"/>
      <c r="O2" s="76"/>
      <c r="P2" s="74" t="s">
        <v>9</v>
      </c>
      <c r="Q2" s="75"/>
      <c r="R2" s="75"/>
      <c r="S2" s="76"/>
    </row>
    <row r="3" spans="1:20" ht="26.25" customHeight="1" x14ac:dyDescent="0.5">
      <c r="A3" s="70"/>
      <c r="B3" s="71"/>
      <c r="C3" s="36" t="s">
        <v>16</v>
      </c>
      <c r="D3" s="78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14</v>
      </c>
      <c r="C4" s="4"/>
      <c r="D4" s="4"/>
      <c r="E4" s="5">
        <f>F4+G4</f>
        <v>8017444.6600000001</v>
      </c>
      <c r="F4" s="5">
        <f>SUM(F5:F6)</f>
        <v>7647735.1500000004</v>
      </c>
      <c r="G4" s="5">
        <f>SUM(G5:G8)</f>
        <v>369709.51</v>
      </c>
      <c r="H4" s="5">
        <f t="shared" ref="H4:H5" si="0">J4+K4</f>
        <v>0</v>
      </c>
      <c r="I4" s="5">
        <f>H4*100/E4</f>
        <v>0</v>
      </c>
      <c r="J4" s="5">
        <f>SUM(J5:J6)</f>
        <v>0</v>
      </c>
      <c r="K4" s="5">
        <f>SUM(K5:K8)</f>
        <v>0</v>
      </c>
      <c r="L4" s="5">
        <f>N4+O4</f>
        <v>0</v>
      </c>
      <c r="M4" s="5">
        <f>L4*100/E4</f>
        <v>0</v>
      </c>
      <c r="N4" s="5">
        <f>SUM(N5:N6)</f>
        <v>0</v>
      </c>
      <c r="O4" s="5">
        <f>SUM(O5:O8)</f>
        <v>0</v>
      </c>
      <c r="P4" s="5">
        <f>E4-H4-L4</f>
        <v>8017444.6600000001</v>
      </c>
      <c r="Q4" s="5">
        <f>P4*100/E4</f>
        <v>100</v>
      </c>
      <c r="R4" s="5">
        <f t="shared" ref="R4:S5" si="1">F4-J4-N4</f>
        <v>7647735.1500000004</v>
      </c>
      <c r="S4" s="5">
        <f>G4-K4-O4</f>
        <v>369709.51</v>
      </c>
      <c r="T4" s="16">
        <f>I4+Q4</f>
        <v>100</v>
      </c>
    </row>
    <row r="5" spans="1:20" ht="41.25" customHeight="1" x14ac:dyDescent="0.5">
      <c r="A5" s="13">
        <v>1</v>
      </c>
      <c r="B5" s="30" t="str">
        <f>[39]รายการสรุป!$E$5</f>
        <v>ค่าควบคุมงานจ้างเหมาโครงการปรับปรุงเขื่อนแม่สรวย จ.เชียงราย</v>
      </c>
      <c r="C5" s="49" t="str">
        <f>[39]รายการสรุป!$I$5</f>
        <v>0700341029410043</v>
      </c>
      <c r="D5" s="29"/>
      <c r="E5" s="49">
        <f t="shared" ref="E5" si="2">F5+G5</f>
        <v>369709.51</v>
      </c>
      <c r="F5" s="49">
        <v>0</v>
      </c>
      <c r="G5" s="50">
        <v>369709.51</v>
      </c>
      <c r="H5" s="49">
        <f t="shared" si="0"/>
        <v>0</v>
      </c>
      <c r="I5" s="49">
        <f t="shared" ref="I5" si="3">H5*100/E5</f>
        <v>0</v>
      </c>
      <c r="J5" s="49">
        <v>0</v>
      </c>
      <c r="K5" s="49">
        <v>0</v>
      </c>
      <c r="L5" s="49">
        <f t="shared" ref="L5" si="4">N5+O5</f>
        <v>0</v>
      </c>
      <c r="M5" s="49">
        <f t="shared" ref="M5" si="5">L5*100/E5</f>
        <v>0</v>
      </c>
      <c r="N5" s="49">
        <v>0</v>
      </c>
      <c r="O5" s="49">
        <v>0</v>
      </c>
      <c r="P5" s="49">
        <f t="shared" ref="P5" si="6">R5+S5</f>
        <v>369709.51</v>
      </c>
      <c r="Q5" s="49">
        <f t="shared" ref="Q5" si="7">P5*100/E5</f>
        <v>100</v>
      </c>
      <c r="R5" s="49">
        <f t="shared" si="1"/>
        <v>0</v>
      </c>
      <c r="S5" s="49">
        <f t="shared" si="1"/>
        <v>369709.51</v>
      </c>
    </row>
    <row r="6" spans="1:20" ht="51.75" customHeight="1" x14ac:dyDescent="0.5">
      <c r="A6" s="13">
        <v>2</v>
      </c>
      <c r="B6" s="11" t="str">
        <f>[40]รายการสรุป!$E$7</f>
        <v>เขื่อนหัวงานและอาคารประกอบพร้อมส่วนประกอบอื่นโครงการปรับปรุงเขื่อนแม่สรวย จ.เชียงราย</v>
      </c>
      <c r="C6" s="49" t="str">
        <f>[40]รายการสรุป!$I$7</f>
        <v>0700341029420135</v>
      </c>
      <c r="D6" s="29"/>
      <c r="E6" s="49">
        <f t="shared" ref="E6:E7" si="8">F6+G6</f>
        <v>7647735.1500000004</v>
      </c>
      <c r="F6" s="49">
        <f>7647735.15</f>
        <v>7647735.1500000004</v>
      </c>
      <c r="G6" s="50">
        <v>0</v>
      </c>
      <c r="H6" s="49">
        <f t="shared" ref="H6:H7" si="9">J6+K6</f>
        <v>0</v>
      </c>
      <c r="I6" s="49">
        <f t="shared" ref="I6:I7" si="10">H6*100/E6</f>
        <v>0</v>
      </c>
      <c r="J6" s="49">
        <v>0</v>
      </c>
      <c r="K6" s="49">
        <v>0</v>
      </c>
      <c r="L6" s="49">
        <f t="shared" ref="L6:L7" si="11">N6+O6</f>
        <v>0</v>
      </c>
      <c r="M6" s="49">
        <f t="shared" ref="M6:M7" si="12">L6*100/E6</f>
        <v>0</v>
      </c>
      <c r="N6" s="49">
        <v>0</v>
      </c>
      <c r="O6" s="49">
        <v>0</v>
      </c>
      <c r="P6" s="49">
        <f t="shared" ref="P6:P7" si="13">R6+S6</f>
        <v>7647735.1500000004</v>
      </c>
      <c r="Q6" s="49">
        <f t="shared" ref="Q6:Q7" si="14">P6*100/E6</f>
        <v>100</v>
      </c>
      <c r="R6" s="49">
        <f t="shared" ref="R6:R7" si="15">F6-J6-N6</f>
        <v>7647735.1500000004</v>
      </c>
      <c r="S6" s="49">
        <f t="shared" ref="S6:S7" si="16">G6-K6-O6</f>
        <v>0</v>
      </c>
    </row>
    <row r="7" spans="1:20" ht="43.5" customHeight="1" x14ac:dyDescent="0.5">
      <c r="A7" s="13">
        <v>3</v>
      </c>
      <c r="B7" s="11" t="str">
        <f>[40]รายการสรุป!$E$8</f>
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7" s="15" t="str">
        <f>[40]รายการสรุป!$I$8</f>
        <v>0700341029420076</v>
      </c>
      <c r="D7" s="29"/>
      <c r="E7" s="49">
        <f t="shared" si="8"/>
        <v>1270300</v>
      </c>
      <c r="F7" s="49">
        <v>1270300</v>
      </c>
      <c r="G7" s="50">
        <v>0</v>
      </c>
      <c r="H7" s="49">
        <f t="shared" si="9"/>
        <v>0</v>
      </c>
      <c r="I7" s="49">
        <f t="shared" si="10"/>
        <v>0</v>
      </c>
      <c r="J7" s="49">
        <v>0</v>
      </c>
      <c r="K7" s="49">
        <v>0</v>
      </c>
      <c r="L7" s="49">
        <f t="shared" si="11"/>
        <v>0</v>
      </c>
      <c r="M7" s="49">
        <f t="shared" si="12"/>
        <v>0</v>
      </c>
      <c r="N7" s="49">
        <v>0</v>
      </c>
      <c r="O7" s="49">
        <v>0</v>
      </c>
      <c r="P7" s="49">
        <f t="shared" si="13"/>
        <v>1270300</v>
      </c>
      <c r="Q7" s="49">
        <f t="shared" si="14"/>
        <v>100</v>
      </c>
      <c r="R7" s="49">
        <f t="shared" si="15"/>
        <v>1270300</v>
      </c>
      <c r="S7" s="49">
        <f t="shared" si="16"/>
        <v>0</v>
      </c>
    </row>
    <row r="8" spans="1:20" ht="33" customHeight="1" x14ac:dyDescent="0.5">
      <c r="A8" s="13"/>
      <c r="B8" s="11"/>
      <c r="C8" s="30"/>
      <c r="D8" s="6"/>
      <c r="E8" s="30"/>
      <c r="F8" s="30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4"/>
    </row>
    <row r="9" spans="1:20" ht="30" customHeight="1" x14ac:dyDescent="0.5">
      <c r="A9" s="13"/>
      <c r="B9" s="11"/>
      <c r="C9" s="15"/>
      <c r="D9" s="1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0" ht="27.75" customHeight="1" x14ac:dyDescent="0.5">
      <c r="A10" s="10"/>
      <c r="B10" s="12"/>
      <c r="C10" s="12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2" spans="1:20" x14ac:dyDescent="0.5">
      <c r="Q12" s="66" t="s">
        <v>10</v>
      </c>
      <c r="R12" s="66"/>
      <c r="S12" s="66"/>
    </row>
    <row r="13" spans="1:20" x14ac:dyDescent="0.5">
      <c r="Q13" s="66" t="s">
        <v>11</v>
      </c>
      <c r="R13" s="66"/>
      <c r="S13" s="66"/>
    </row>
    <row r="14" spans="1:20" x14ac:dyDescent="0.5">
      <c r="Q14" s="66" t="s">
        <v>12</v>
      </c>
      <c r="R14" s="66"/>
      <c r="S14" s="66"/>
    </row>
    <row r="15" spans="1:20" x14ac:dyDescent="0.5">
      <c r="Q15" s="66" t="s">
        <v>13</v>
      </c>
      <c r="R15" s="66"/>
      <c r="S15" s="66"/>
    </row>
  </sheetData>
  <mergeCells count="11">
    <mergeCell ref="Q12:S12"/>
    <mergeCell ref="Q13:S13"/>
    <mergeCell ref="Q14:S14"/>
    <mergeCell ref="Q15:S15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5"/>
  <sheetViews>
    <sheetView topLeftCell="F1" zoomScale="115" zoomScaleNormal="115" workbookViewId="0">
      <pane ySplit="3" topLeftCell="A4" activePane="bottomLeft" state="frozen"/>
      <selection activeCell="O29" sqref="O29"/>
      <selection pane="bottomLeft" activeCell="L11" sqref="L11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5.5" style="1" customWidth="1"/>
    <col min="4" max="4" width="9" style="14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2" style="1" customWidth="1"/>
    <col min="19" max="19" width="12.25" style="1" customWidth="1"/>
    <col min="20" max="20" width="9" style="1"/>
    <col min="21" max="21" width="13.875" style="1" customWidth="1"/>
    <col min="22" max="16384" width="9" style="1"/>
  </cols>
  <sheetData>
    <row r="1" spans="1:21" ht="33" customHeight="1" x14ac:dyDescent="0.6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1" x14ac:dyDescent="0.5">
      <c r="A2" s="68" t="s">
        <v>0</v>
      </c>
      <c r="B2" s="69"/>
      <c r="C2" s="38" t="s">
        <v>15</v>
      </c>
      <c r="D2" s="77" t="s">
        <v>1</v>
      </c>
      <c r="E2" s="74" t="s">
        <v>2</v>
      </c>
      <c r="F2" s="75"/>
      <c r="G2" s="76"/>
      <c r="H2" s="74" t="s">
        <v>7</v>
      </c>
      <c r="I2" s="75"/>
      <c r="J2" s="75"/>
      <c r="K2" s="76"/>
      <c r="L2" s="74" t="s">
        <v>8</v>
      </c>
      <c r="M2" s="75"/>
      <c r="N2" s="75"/>
      <c r="O2" s="76"/>
      <c r="P2" s="74" t="s">
        <v>9</v>
      </c>
      <c r="Q2" s="75"/>
      <c r="R2" s="75"/>
      <c r="S2" s="76"/>
    </row>
    <row r="3" spans="1:21" ht="26.25" customHeight="1" x14ac:dyDescent="0.5">
      <c r="A3" s="70"/>
      <c r="B3" s="71"/>
      <c r="C3" s="39" t="s">
        <v>16</v>
      </c>
      <c r="D3" s="78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1" ht="30.75" customHeight="1" x14ac:dyDescent="0.5">
      <c r="A4" s="4"/>
      <c r="B4" s="4" t="s">
        <v>14</v>
      </c>
      <c r="C4" s="4"/>
      <c r="D4" s="4"/>
      <c r="E4" s="5">
        <f>F4+G4</f>
        <v>20936736.109999999</v>
      </c>
      <c r="F4" s="5">
        <f>SUM(F5:F5)</f>
        <v>0</v>
      </c>
      <c r="G4" s="5">
        <f>G5+G7</f>
        <v>20936736.109999999</v>
      </c>
      <c r="H4" s="5">
        <f t="shared" ref="H4:H5" si="0">J4+K4</f>
        <v>4625783.7</v>
      </c>
      <c r="I4" s="5">
        <f>H4*100/E4</f>
        <v>22.094101371371778</v>
      </c>
      <c r="J4" s="5">
        <f>SUM(J5:J5)</f>
        <v>0</v>
      </c>
      <c r="K4" s="5">
        <f>K5+K7</f>
        <v>4625783.7</v>
      </c>
      <c r="L4" s="5">
        <f>N4+O4</f>
        <v>0</v>
      </c>
      <c r="M4" s="5">
        <f>L4*100/E4</f>
        <v>0</v>
      </c>
      <c r="N4" s="5">
        <f>SUM(N5:N5)</f>
        <v>0</v>
      </c>
      <c r="O4" s="5">
        <f>SUM(O5)</f>
        <v>0</v>
      </c>
      <c r="P4" s="5">
        <f>E4-H4-L4</f>
        <v>16310952.41</v>
      </c>
      <c r="Q4" s="5">
        <f>P4*100/E4</f>
        <v>77.905898628628222</v>
      </c>
      <c r="R4" s="5">
        <f t="shared" ref="R4:S5" si="1">F4-J4-N4</f>
        <v>0</v>
      </c>
      <c r="S4" s="5">
        <f>G4-K4-O4</f>
        <v>16310952.41</v>
      </c>
      <c r="T4" s="16">
        <f>I4+Q4</f>
        <v>100</v>
      </c>
      <c r="U4" s="16">
        <f>P4+H4</f>
        <v>20936736.109999999</v>
      </c>
    </row>
    <row r="5" spans="1:21" ht="41.25" customHeight="1" x14ac:dyDescent="0.5">
      <c r="A5" s="13">
        <v>1</v>
      </c>
      <c r="B5" s="11" t="str">
        <f>[41]รายการสรุป!$E$5</f>
        <v>ฝายห้วยแม่แก้พร้อมระบบส่งน้ำ ต.ลำปางหลวง อ.เกาะคา จ.ลำปาง</v>
      </c>
      <c r="C5" s="49" t="str">
        <f>[41]รายการสรุป!$I$5</f>
        <v>0700345053420111</v>
      </c>
      <c r="D5" s="29"/>
      <c r="E5" s="49">
        <f t="shared" ref="E5" si="2">F5+G5</f>
        <v>2281785.31</v>
      </c>
      <c r="F5" s="49">
        <v>0</v>
      </c>
      <c r="G5" s="50">
        <f>1724410.31+264175+293200</f>
        <v>2281785.31</v>
      </c>
      <c r="H5" s="49">
        <f t="shared" si="0"/>
        <v>557375</v>
      </c>
      <c r="I5" s="49">
        <f t="shared" ref="I5" si="3">H5*100/E5</f>
        <v>24.42714472554826</v>
      </c>
      <c r="J5" s="49">
        <v>0</v>
      </c>
      <c r="K5" s="49">
        <f>293200+264175</f>
        <v>557375</v>
      </c>
      <c r="L5" s="49">
        <f t="shared" ref="L5" si="4">N5+O5</f>
        <v>0</v>
      </c>
      <c r="M5" s="49">
        <f t="shared" ref="M5" si="5">L5*100/E5</f>
        <v>0</v>
      </c>
      <c r="N5" s="49">
        <v>0</v>
      </c>
      <c r="O5" s="49">
        <v>0</v>
      </c>
      <c r="P5" s="49">
        <f t="shared" ref="P5" si="6">R5+S5</f>
        <v>1724410.31</v>
      </c>
      <c r="Q5" s="49">
        <f t="shared" ref="Q5" si="7">P5*100/E5</f>
        <v>75.57285527445174</v>
      </c>
      <c r="R5" s="49">
        <f t="shared" si="1"/>
        <v>0</v>
      </c>
      <c r="S5" s="49">
        <f t="shared" si="1"/>
        <v>1724410.31</v>
      </c>
    </row>
    <row r="6" spans="1:21" ht="30" customHeight="1" x14ac:dyDescent="0.5">
      <c r="A6" s="13"/>
      <c r="B6" s="32" t="s">
        <v>20</v>
      </c>
      <c r="C6" s="15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1" ht="30" customHeight="1" x14ac:dyDescent="0.5">
      <c r="A7" s="13">
        <v>2</v>
      </c>
      <c r="B7" s="11" t="str">
        <f>[42]รายการสรุป!$E$5</f>
        <v>โครงการฝายแม่อางบ้านน้ำล้อมอันเนื่องมาจากพระราชดำริ อ.เมือง จ.ลำปาง</v>
      </c>
      <c r="C7" s="15" t="str">
        <f>[42]รายการสรุป!$I$5</f>
        <v>9090938015E8</v>
      </c>
      <c r="D7" s="15" t="s">
        <v>19</v>
      </c>
      <c r="E7" s="49">
        <f t="shared" ref="E7" si="8">F7+G7</f>
        <v>18654950.800000001</v>
      </c>
      <c r="F7" s="30">
        <v>0</v>
      </c>
      <c r="G7" s="50">
        <f>485675+18169275.8</f>
        <v>18654950.800000001</v>
      </c>
      <c r="H7" s="49">
        <f t="shared" ref="H7" si="9">J7+K7</f>
        <v>4068408.7</v>
      </c>
      <c r="I7" s="49">
        <f t="shared" ref="I7" si="10">H7*100/E7</f>
        <v>21.80873454782845</v>
      </c>
      <c r="J7" s="30">
        <v>0</v>
      </c>
      <c r="K7" s="49">
        <f>485675+495720+180275.9+799102+557203.6+642422.5+13120+274410+616884.5+3595.2</f>
        <v>4068408.7</v>
      </c>
      <c r="L7" s="49">
        <f t="shared" ref="L7" si="11">N7+O7</f>
        <v>0</v>
      </c>
      <c r="M7" s="49">
        <f t="shared" ref="M7" si="12">L7*100/E7</f>
        <v>0</v>
      </c>
      <c r="N7" s="49">
        <v>0</v>
      </c>
      <c r="O7" s="49">
        <v>0</v>
      </c>
      <c r="P7" s="49">
        <f t="shared" ref="P7" si="13">R7+S7</f>
        <v>14586542.100000001</v>
      </c>
      <c r="Q7" s="49">
        <f t="shared" ref="Q7" si="14">P7*100/E7</f>
        <v>78.191265452171564</v>
      </c>
      <c r="R7" s="49">
        <f t="shared" ref="R7:S7" si="15">F7-J7-N7</f>
        <v>0</v>
      </c>
      <c r="S7" s="30">
        <f t="shared" si="15"/>
        <v>14586542.100000001</v>
      </c>
    </row>
    <row r="8" spans="1:21" ht="27.75" customHeight="1" x14ac:dyDescent="0.5">
      <c r="A8" s="10"/>
      <c r="B8" s="12"/>
      <c r="C8" s="12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10" spans="1:21" x14ac:dyDescent="0.5">
      <c r="Q10" s="66" t="s">
        <v>10</v>
      </c>
      <c r="R10" s="66"/>
      <c r="S10" s="66"/>
    </row>
    <row r="11" spans="1:21" x14ac:dyDescent="0.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66" t="s">
        <v>11</v>
      </c>
      <c r="R11" s="66"/>
      <c r="S11" s="66"/>
    </row>
    <row r="12" spans="1:21" x14ac:dyDescent="0.5">
      <c r="Q12" s="66" t="s">
        <v>12</v>
      </c>
      <c r="R12" s="66"/>
      <c r="S12" s="66"/>
    </row>
    <row r="13" spans="1:21" x14ac:dyDescent="0.5">
      <c r="Q13" s="66" t="s">
        <v>13</v>
      </c>
      <c r="R13" s="66"/>
      <c r="S13" s="66"/>
    </row>
    <row r="14" spans="1:21" x14ac:dyDescent="0.5">
      <c r="Q14" s="37"/>
      <c r="R14" s="37"/>
      <c r="S14" s="37"/>
    </row>
    <row r="15" spans="1:21" x14ac:dyDescent="0.5"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30"/>
      <c r="R15" s="16"/>
      <c r="S15" s="16"/>
    </row>
  </sheetData>
  <mergeCells count="11">
    <mergeCell ref="Q10:S10"/>
    <mergeCell ref="Q11:S11"/>
    <mergeCell ref="Q12:S12"/>
    <mergeCell ref="Q13:S13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zoomScale="115" zoomScaleNormal="115" workbookViewId="0">
      <pane ySplit="3" topLeftCell="A4" activePane="bottomLeft" state="frozen"/>
      <selection activeCell="O29" sqref="O29"/>
      <selection pane="bottomLeft" activeCell="B10" sqref="B10"/>
    </sheetView>
  </sheetViews>
  <sheetFormatPr defaultColWidth="9" defaultRowHeight="23.25" x14ac:dyDescent="0.5"/>
  <cols>
    <col min="1" max="1" width="5.125" style="1" customWidth="1"/>
    <col min="2" max="2" width="62.25" style="1" customWidth="1"/>
    <col min="3" max="3" width="17.125" style="1" customWidth="1"/>
    <col min="4" max="4" width="9" style="14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2" style="1" customWidth="1"/>
    <col min="19" max="19" width="12.25" style="1" customWidth="1"/>
    <col min="20" max="20" width="9" style="1"/>
    <col min="21" max="21" width="13.875" style="1" customWidth="1"/>
    <col min="22" max="16384" width="9" style="1"/>
  </cols>
  <sheetData>
    <row r="1" spans="1:21" ht="33" customHeight="1" x14ac:dyDescent="0.6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1" x14ac:dyDescent="0.5">
      <c r="A2" s="68" t="s">
        <v>0</v>
      </c>
      <c r="B2" s="69"/>
      <c r="C2" s="42" t="s">
        <v>15</v>
      </c>
      <c r="D2" s="77" t="s">
        <v>1</v>
      </c>
      <c r="E2" s="74" t="s">
        <v>2</v>
      </c>
      <c r="F2" s="75"/>
      <c r="G2" s="76"/>
      <c r="H2" s="74" t="s">
        <v>7</v>
      </c>
      <c r="I2" s="75"/>
      <c r="J2" s="75"/>
      <c r="K2" s="76"/>
      <c r="L2" s="74" t="s">
        <v>8</v>
      </c>
      <c r="M2" s="75"/>
      <c r="N2" s="75"/>
      <c r="O2" s="76"/>
      <c r="P2" s="74" t="s">
        <v>9</v>
      </c>
      <c r="Q2" s="75"/>
      <c r="R2" s="75"/>
      <c r="S2" s="76"/>
    </row>
    <row r="3" spans="1:21" ht="26.25" customHeight="1" x14ac:dyDescent="0.5">
      <c r="A3" s="70"/>
      <c r="B3" s="71"/>
      <c r="C3" s="43" t="s">
        <v>16</v>
      </c>
      <c r="D3" s="78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1" ht="30.75" customHeight="1" x14ac:dyDescent="0.5">
      <c r="A4" s="4"/>
      <c r="B4" s="4" t="s">
        <v>14</v>
      </c>
      <c r="C4" s="4"/>
      <c r="D4" s="4"/>
      <c r="E4" s="5">
        <f>F4+G4</f>
        <v>18275310</v>
      </c>
      <c r="F4" s="5">
        <f>SUM(F5:F5)</f>
        <v>0</v>
      </c>
      <c r="G4" s="5">
        <f>SUM(G5:G7)</f>
        <v>18275310</v>
      </c>
      <c r="H4" s="5">
        <f t="shared" ref="H4:H7" si="0">J4+K4</f>
        <v>0</v>
      </c>
      <c r="I4" s="5">
        <f>H4*100/E4</f>
        <v>0</v>
      </c>
      <c r="J4" s="5">
        <f>SUM(J5:J5)</f>
        <v>0</v>
      </c>
      <c r="K4" s="5">
        <f>SUM(K5:K7)</f>
        <v>0</v>
      </c>
      <c r="L4" s="5">
        <f>N4+O4</f>
        <v>18275310</v>
      </c>
      <c r="M4" s="5">
        <f>L4*100/E4</f>
        <v>100</v>
      </c>
      <c r="N4" s="5">
        <f>SUM(N5:N5)</f>
        <v>0</v>
      </c>
      <c r="O4" s="5">
        <f>SUM(O5:O7)</f>
        <v>18275310</v>
      </c>
      <c r="P4" s="5">
        <f>E4-H4-L4</f>
        <v>0</v>
      </c>
      <c r="Q4" s="5">
        <f>P4*100/E4</f>
        <v>0</v>
      </c>
      <c r="R4" s="5">
        <f t="shared" ref="R4:S7" si="1">F4-J4-N4</f>
        <v>0</v>
      </c>
      <c r="S4" s="5">
        <f>G4-K4-O4</f>
        <v>0</v>
      </c>
      <c r="T4" s="16">
        <f>I4+Q4</f>
        <v>0</v>
      </c>
      <c r="U4" s="16">
        <f>P4+H4</f>
        <v>0</v>
      </c>
    </row>
    <row r="5" spans="1:21" ht="32.25" customHeight="1" x14ac:dyDescent="0.5">
      <c r="A5" s="13">
        <v>1</v>
      </c>
      <c r="B5" s="11" t="str">
        <f>[43]รายการสรุป!$E$5</f>
        <v>เพิ่มประสิทธิภาพการกักเก็บน้ำอ่างเก็บน้ำเขื่อนกิ่วลม จ.ลำปาง</v>
      </c>
      <c r="C5" s="30" t="str">
        <f>[43]รายการสรุป!$I$5</f>
        <v>070035630X1410B99</v>
      </c>
      <c r="D5" s="29" t="s">
        <v>21</v>
      </c>
      <c r="E5" s="30">
        <f t="shared" ref="E5:E7" si="2">F5+G5</f>
        <v>1907770</v>
      </c>
      <c r="F5" s="30">
        <v>0</v>
      </c>
      <c r="G5" s="31">
        <f>1907770</f>
        <v>1907770</v>
      </c>
      <c r="H5" s="30">
        <f t="shared" si="0"/>
        <v>0</v>
      </c>
      <c r="I5" s="30">
        <f t="shared" ref="I5:I7" si="3">H5*100/E5</f>
        <v>0</v>
      </c>
      <c r="J5" s="30">
        <v>0</v>
      </c>
      <c r="K5" s="30">
        <v>0</v>
      </c>
      <c r="L5" s="30">
        <f t="shared" ref="L5:L7" si="4">N5+O5</f>
        <v>1907770</v>
      </c>
      <c r="M5" s="30">
        <f t="shared" ref="M5:M7" si="5">L5*100/E5</f>
        <v>100</v>
      </c>
      <c r="N5" s="30">
        <v>0</v>
      </c>
      <c r="O5" s="30">
        <v>1907770</v>
      </c>
      <c r="P5" s="30">
        <f t="shared" ref="P5:P7" si="6">R5+S5</f>
        <v>0</v>
      </c>
      <c r="Q5" s="30">
        <f t="shared" ref="Q5:Q7" si="7">P5*100/E5</f>
        <v>0</v>
      </c>
      <c r="R5" s="30">
        <f t="shared" si="1"/>
        <v>0</v>
      </c>
      <c r="S5" s="30">
        <f t="shared" si="1"/>
        <v>0</v>
      </c>
    </row>
    <row r="6" spans="1:21" ht="32.25" customHeight="1" x14ac:dyDescent="0.5">
      <c r="A6" s="13">
        <v>3</v>
      </c>
      <c r="B6" s="11" t="str">
        <f>[43]รายการสรุป!$E$7</f>
        <v>กำจัดสิ่งกีดขวางทางแม่น้ำวังด้านท้ายเขื่อนกิ่วคอหมา จ.ลำปาง</v>
      </c>
      <c r="C6" s="30" t="str">
        <f>[43]รายการสรุป!$I$7</f>
        <v>070035630X1410C04</v>
      </c>
      <c r="D6" s="29" t="s">
        <v>21</v>
      </c>
      <c r="E6" s="30">
        <f t="shared" si="2"/>
        <v>7683770</v>
      </c>
      <c r="F6" s="30">
        <v>0</v>
      </c>
      <c r="G6" s="31">
        <f>7683770</f>
        <v>7683770</v>
      </c>
      <c r="H6" s="30">
        <f t="shared" si="0"/>
        <v>0</v>
      </c>
      <c r="I6" s="30">
        <f t="shared" si="3"/>
        <v>0</v>
      </c>
      <c r="J6" s="30">
        <v>0</v>
      </c>
      <c r="K6" s="30">
        <v>0</v>
      </c>
      <c r="L6" s="30">
        <f t="shared" si="4"/>
        <v>7683770</v>
      </c>
      <c r="M6" s="30">
        <f t="shared" si="5"/>
        <v>100</v>
      </c>
      <c r="N6" s="30">
        <v>0</v>
      </c>
      <c r="O6" s="30">
        <v>7683770</v>
      </c>
      <c r="P6" s="30">
        <f t="shared" si="6"/>
        <v>0</v>
      </c>
      <c r="Q6" s="30">
        <f t="shared" si="7"/>
        <v>0</v>
      </c>
      <c r="R6" s="30">
        <f t="shared" si="1"/>
        <v>0</v>
      </c>
      <c r="S6" s="30">
        <f t="shared" si="1"/>
        <v>0</v>
      </c>
    </row>
    <row r="7" spans="1:21" ht="32.25" customHeight="1" x14ac:dyDescent="0.5">
      <c r="A7" s="13">
        <v>4</v>
      </c>
      <c r="B7" s="40" t="str">
        <f>[43]รายการสรุป!$E$8</f>
        <v>เพิ่มประสิทธิภาพการกักเก็บน้ำเขื่อนกิ่วลม จ.ลำปาง</v>
      </c>
      <c r="C7" s="15" t="str">
        <f>[43]รายการสรุป!$I$8</f>
        <v>070035630X1410C05</v>
      </c>
      <c r="D7" s="29" t="s">
        <v>21</v>
      </c>
      <c r="E7" s="30">
        <f t="shared" si="2"/>
        <v>8683770</v>
      </c>
      <c r="F7" s="30">
        <v>0</v>
      </c>
      <c r="G7" s="31">
        <f>8683770</f>
        <v>8683770</v>
      </c>
      <c r="H7" s="30">
        <f t="shared" si="0"/>
        <v>0</v>
      </c>
      <c r="I7" s="30">
        <f t="shared" si="3"/>
        <v>0</v>
      </c>
      <c r="J7" s="30">
        <v>0</v>
      </c>
      <c r="K7" s="30">
        <v>0</v>
      </c>
      <c r="L7" s="30">
        <f t="shared" si="4"/>
        <v>8683770</v>
      </c>
      <c r="M7" s="30">
        <f t="shared" si="5"/>
        <v>100</v>
      </c>
      <c r="N7" s="30">
        <v>0</v>
      </c>
      <c r="O7" s="30">
        <v>8683770</v>
      </c>
      <c r="P7" s="30">
        <f t="shared" si="6"/>
        <v>0</v>
      </c>
      <c r="Q7" s="30">
        <f t="shared" si="7"/>
        <v>0</v>
      </c>
      <c r="R7" s="30">
        <f t="shared" si="1"/>
        <v>0</v>
      </c>
      <c r="S7" s="30">
        <f t="shared" si="1"/>
        <v>0</v>
      </c>
    </row>
    <row r="8" spans="1:21" ht="27.75" customHeight="1" x14ac:dyDescent="0.5">
      <c r="A8" s="10"/>
      <c r="B8" s="12"/>
      <c r="C8" s="12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10" spans="1:21" x14ac:dyDescent="0.5">
      <c r="Q10" s="66" t="s">
        <v>10</v>
      </c>
      <c r="R10" s="66"/>
      <c r="S10" s="66"/>
    </row>
    <row r="11" spans="1:21" x14ac:dyDescent="0.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66" t="s">
        <v>11</v>
      </c>
      <c r="R11" s="66"/>
      <c r="S11" s="66"/>
    </row>
    <row r="12" spans="1:21" x14ac:dyDescent="0.5">
      <c r="Q12" s="66" t="s">
        <v>12</v>
      </c>
      <c r="R12" s="66"/>
      <c r="S12" s="66"/>
    </row>
    <row r="13" spans="1:21" x14ac:dyDescent="0.5">
      <c r="Q13" s="66" t="s">
        <v>13</v>
      </c>
      <c r="R13" s="66"/>
      <c r="S13" s="66"/>
    </row>
    <row r="14" spans="1:21" x14ac:dyDescent="0.5">
      <c r="Q14" s="41"/>
      <c r="R14" s="41"/>
      <c r="S14" s="41"/>
    </row>
    <row r="15" spans="1:21" x14ac:dyDescent="0.5">
      <c r="E15" s="16">
        <f>E4+'2562'!E4</f>
        <v>83472508</v>
      </c>
      <c r="F15" s="16">
        <f>F4+'2562'!F4</f>
        <v>29488400</v>
      </c>
      <c r="G15" s="16">
        <f>G4+'2562'!G4</f>
        <v>53984108</v>
      </c>
      <c r="H15" s="16">
        <f>H4+'2562'!H4</f>
        <v>465935.3</v>
      </c>
      <c r="I15" s="16">
        <f>I4+'2562'!I4</f>
        <v>0.71465540589643128</v>
      </c>
      <c r="J15" s="16">
        <f>J4+'2562'!J4</f>
        <v>0</v>
      </c>
      <c r="K15" s="16">
        <f>K4+'2562'!K4</f>
        <v>465935.3</v>
      </c>
      <c r="L15" s="16">
        <f>L4+'2562'!L4</f>
        <v>18275310</v>
      </c>
      <c r="M15" s="16">
        <f>M4+'2562'!M4</f>
        <v>100</v>
      </c>
      <c r="N15" s="16">
        <f>N4+'2562'!N4</f>
        <v>0</v>
      </c>
      <c r="O15" s="16">
        <f>O4+'2562'!O4</f>
        <v>18275310</v>
      </c>
      <c r="P15" s="16">
        <f>P4+'2562'!P4</f>
        <v>64731262.700000003</v>
      </c>
      <c r="Q15" s="30">
        <f t="shared" ref="Q15" si="8">P15*100/E15</f>
        <v>77.548002630997985</v>
      </c>
      <c r="R15" s="16">
        <f>R4+'2562'!R4</f>
        <v>29488400</v>
      </c>
      <c r="S15" s="16">
        <f>S4+'2562'!S4</f>
        <v>35242862.700000003</v>
      </c>
    </row>
  </sheetData>
  <mergeCells count="11">
    <mergeCell ref="Q10:S10"/>
    <mergeCell ref="Q11:S11"/>
    <mergeCell ref="Q12:S12"/>
    <mergeCell ref="Q13:S13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2562</vt:lpstr>
      <vt:lpstr>เงินกันปี 61</vt:lpstr>
      <vt:lpstr>เงินขยาย 60  .</vt:lpstr>
      <vt:lpstr>00712 ก่อสร้าง เงินกัน</vt:lpstr>
      <vt:lpstr>00743 ช่างกล 1เงินกันไม่มีหนี้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2018-11-29T02:52:35Z</dcterms:modified>
</cp:coreProperties>
</file>