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calcPr calcId="152511"/>
</workbook>
</file>

<file path=xl/calcChain.xml><?xml version="1.0" encoding="utf-8"?>
<calcChain xmlns="http://schemas.openxmlformats.org/spreadsheetml/2006/main">
  <c r="K277" i="1" l="1"/>
  <c r="K274" i="1"/>
  <c r="K268" i="1"/>
  <c r="K221" i="1"/>
  <c r="K219" i="1"/>
  <c r="K220" i="1"/>
  <c r="K218" i="1"/>
  <c r="K223" i="1"/>
  <c r="K18" i="1"/>
  <c r="K63" i="1"/>
  <c r="K62" i="1"/>
  <c r="K6" i="11"/>
  <c r="K7" i="11"/>
  <c r="K8" i="11"/>
  <c r="K291" i="1" l="1"/>
  <c r="K286" i="1"/>
  <c r="K285" i="1"/>
  <c r="K266" i="1"/>
  <c r="K233" i="1"/>
  <c r="K228" i="1"/>
  <c r="K263" i="1"/>
  <c r="K264" i="1"/>
  <c r="K229" i="1"/>
  <c r="K99" i="1"/>
  <c r="K289" i="1" l="1"/>
  <c r="J5" i="12" l="1"/>
  <c r="N293" i="1" l="1"/>
  <c r="O293" i="1"/>
  <c r="J293" i="1"/>
  <c r="K293" i="1"/>
  <c r="G300" i="1"/>
  <c r="S300" i="1" s="1"/>
  <c r="G299" i="1"/>
  <c r="S299" i="1" s="1"/>
  <c r="G298" i="1"/>
  <c r="E298" i="1" s="1"/>
  <c r="G297" i="1"/>
  <c r="S297" i="1" s="1"/>
  <c r="C300" i="1"/>
  <c r="C299" i="1"/>
  <c r="C298" i="1"/>
  <c r="C297" i="1"/>
  <c r="B300" i="1"/>
  <c r="B299" i="1"/>
  <c r="B298" i="1"/>
  <c r="B297" i="1"/>
  <c r="H298" i="1"/>
  <c r="L298" i="1"/>
  <c r="R298" i="1"/>
  <c r="H299" i="1"/>
  <c r="L299" i="1"/>
  <c r="R299" i="1"/>
  <c r="H300" i="1"/>
  <c r="L300" i="1"/>
  <c r="R300" i="1"/>
  <c r="H297" i="1"/>
  <c r="L297" i="1"/>
  <c r="R297" i="1"/>
  <c r="P299" i="1" l="1"/>
  <c r="M298" i="1"/>
  <c r="P300" i="1"/>
  <c r="E297" i="1"/>
  <c r="M297" i="1" s="1"/>
  <c r="E300" i="1"/>
  <c r="M300" i="1" s="1"/>
  <c r="E299" i="1"/>
  <c r="Q299" i="1" s="1"/>
  <c r="S298" i="1"/>
  <c r="P298" i="1" s="1"/>
  <c r="Q298" i="1" s="1"/>
  <c r="I298" i="1"/>
  <c r="P297" i="1"/>
  <c r="Q297" i="1" s="1"/>
  <c r="K125" i="1"/>
  <c r="I297" i="1" l="1"/>
  <c r="I299" i="1"/>
  <c r="I300" i="1"/>
  <c r="Q300" i="1"/>
  <c r="M299" i="1"/>
  <c r="K6" i="8"/>
  <c r="K251" i="1" l="1"/>
  <c r="K231" i="1"/>
  <c r="K182" i="1"/>
  <c r="K183" i="1"/>
  <c r="K240" i="1"/>
  <c r="K78" i="1"/>
  <c r="K292" i="1" l="1"/>
  <c r="K288" i="1"/>
  <c r="K181" i="1"/>
  <c r="K278" i="1" l="1"/>
  <c r="K225" i="1"/>
  <c r="K7" i="1"/>
  <c r="K238" i="1" l="1"/>
  <c r="K237" i="1"/>
  <c r="K215" i="1"/>
  <c r="K265" i="1" l="1"/>
  <c r="K86" i="1"/>
  <c r="K192" i="1"/>
  <c r="K64" i="1"/>
  <c r="K236" i="1" l="1"/>
  <c r="K213" i="1"/>
  <c r="K198" i="1"/>
  <c r="K81" i="1"/>
  <c r="K76" i="1"/>
  <c r="K77" i="1"/>
  <c r="K75" i="1"/>
  <c r="K74" i="1"/>
  <c r="K72" i="1"/>
  <c r="K80" i="1"/>
  <c r="K79" i="1"/>
  <c r="K73" i="1"/>
  <c r="K71" i="1"/>
  <c r="K70" i="1"/>
  <c r="K179" i="1"/>
  <c r="H295" i="1" l="1"/>
  <c r="H296" i="1"/>
  <c r="H294" i="1"/>
  <c r="F293" i="1"/>
  <c r="G296" i="1"/>
  <c r="S296" i="1" s="1"/>
  <c r="G295" i="1"/>
  <c r="E295" i="1" s="1"/>
  <c r="G294" i="1"/>
  <c r="L295" i="1"/>
  <c r="R295" i="1"/>
  <c r="L296" i="1"/>
  <c r="R296" i="1"/>
  <c r="B296" i="1"/>
  <c r="B295" i="1"/>
  <c r="B294" i="1"/>
  <c r="C296" i="1"/>
  <c r="C295" i="1"/>
  <c r="C294" i="1"/>
  <c r="R294" i="1"/>
  <c r="L294" i="1"/>
  <c r="R293" i="1"/>
  <c r="G293" i="1" l="1"/>
  <c r="E294" i="1"/>
  <c r="E296" i="1"/>
  <c r="M296" i="1" s="1"/>
  <c r="M294" i="1"/>
  <c r="I295" i="1"/>
  <c r="P296" i="1"/>
  <c r="Q296" i="1" s="1"/>
  <c r="M295" i="1"/>
  <c r="S295" i="1"/>
  <c r="P295" i="1" s="1"/>
  <c r="Q295" i="1" s="1"/>
  <c r="L293" i="1"/>
  <c r="S293" i="1"/>
  <c r="P293" i="1" s="1"/>
  <c r="H293" i="1"/>
  <c r="I294" i="1"/>
  <c r="S294" i="1"/>
  <c r="P294" i="1" s="1"/>
  <c r="E293" i="1"/>
  <c r="K208" i="1"/>
  <c r="K65" i="1"/>
  <c r="K68" i="1"/>
  <c r="K34" i="1"/>
  <c r="Q294" i="1" l="1"/>
  <c r="I296" i="1"/>
  <c r="M293" i="1"/>
  <c r="Q293" i="1"/>
  <c r="I293" i="1"/>
  <c r="K207" i="1" l="1"/>
  <c r="K235" i="1" l="1"/>
  <c r="K246" i="1" l="1"/>
  <c r="K248" i="1"/>
  <c r="K9" i="1"/>
  <c r="K195" i="1" l="1"/>
  <c r="K196" i="1"/>
  <c r="J288" i="1" l="1"/>
  <c r="K43" i="1" l="1"/>
  <c r="J282" i="1" l="1"/>
  <c r="J250" i="1"/>
  <c r="J245" i="1"/>
  <c r="J234" i="1"/>
  <c r="J224" i="1"/>
  <c r="J222" i="1"/>
  <c r="K247" i="1" l="1"/>
  <c r="K187" i="1" l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4" i="1" l="1"/>
  <c r="K243" i="1"/>
  <c r="K241" i="1"/>
  <c r="K272" i="1" l="1"/>
  <c r="K203" i="1"/>
  <c r="K206" i="1"/>
  <c r="K217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194" i="1" l="1"/>
  <c r="K193" i="1" s="1"/>
  <c r="K177" i="1" l="1"/>
  <c r="K32" i="1"/>
  <c r="K29" i="1"/>
  <c r="K191" i="1" l="1"/>
  <c r="K14" i="1"/>
  <c r="G289" i="1" l="1"/>
  <c r="G288" i="1"/>
  <c r="K190" i="1" l="1"/>
  <c r="K9" i="9" l="1"/>
  <c r="K10" i="9"/>
  <c r="K188" i="1"/>
  <c r="K189" i="1"/>
  <c r="K269" i="1"/>
  <c r="K267" i="1" s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49" i="1" l="1"/>
  <c r="K10" i="1"/>
  <c r="K13" i="1" l="1"/>
  <c r="G274" i="1" l="1"/>
  <c r="S274" i="1" s="1"/>
  <c r="C274" i="1"/>
  <c r="B274" i="1"/>
  <c r="R274" i="1"/>
  <c r="L274" i="1"/>
  <c r="H274" i="1"/>
  <c r="O273" i="1"/>
  <c r="N273" i="1"/>
  <c r="L273" i="1"/>
  <c r="K273" i="1"/>
  <c r="J273" i="1"/>
  <c r="F273" i="1"/>
  <c r="G273" i="1" l="1"/>
  <c r="E273" i="1" s="1"/>
  <c r="R273" i="1"/>
  <c r="H273" i="1"/>
  <c r="E274" i="1"/>
  <c r="I274" i="1" s="1"/>
  <c r="P274" i="1"/>
  <c r="S273" i="1" l="1"/>
  <c r="P273" i="1" s="1"/>
  <c r="Q273" i="1" s="1"/>
  <c r="I273" i="1"/>
  <c r="M274" i="1"/>
  <c r="Q274" i="1"/>
  <c r="N5" i="11"/>
  <c r="N4" i="11" s="1"/>
  <c r="O5" i="11"/>
  <c r="O4" i="11" s="1"/>
  <c r="K5" i="11"/>
  <c r="K4" i="11" s="1"/>
  <c r="G8" i="11"/>
  <c r="S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P8" i="11"/>
  <c r="G5" i="11"/>
  <c r="G4" i="11" s="1"/>
  <c r="L5" i="11"/>
  <c r="E7" i="11"/>
  <c r="E5" i="11"/>
  <c r="R4" i="11"/>
  <c r="E6" i="11"/>
  <c r="M6" i="11" s="1"/>
  <c r="M7" i="11"/>
  <c r="H6" i="11"/>
  <c r="P7" i="11"/>
  <c r="H5" i="11"/>
  <c r="S5" i="11"/>
  <c r="L4" i="11"/>
  <c r="R5" i="11"/>
  <c r="E8" i="11"/>
  <c r="I8" i="11" s="1"/>
  <c r="H7" i="11"/>
  <c r="I7" i="11" s="1"/>
  <c r="I5" i="11" l="1"/>
  <c r="Q7" i="11"/>
  <c r="Q6" i="1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9" i="1" l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s="1"/>
  <c r="M292" i="1" l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M243" i="1" l="1"/>
  <c r="P241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M192" i="1" l="1"/>
  <c r="I192" i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R272" i="1"/>
  <c r="L272" i="1"/>
  <c r="H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S272" i="1" l="1"/>
  <c r="G271" i="1"/>
  <c r="L267" i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R234" i="1" s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M235" i="1" l="1"/>
  <c r="S234" i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G180" i="1" s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R222" i="1" s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C15" i="9"/>
  <c r="B15" i="9"/>
  <c r="O14" i="9"/>
  <c r="O11" i="9" s="1"/>
  <c r="L11" i="9" s="1"/>
  <c r="N14" i="9"/>
  <c r="L14" i="9"/>
  <c r="K14" i="9"/>
  <c r="J14" i="9"/>
  <c r="J11" i="9" s="1"/>
  <c r="G14" i="9"/>
  <c r="F14" i="9"/>
  <c r="R14" i="9" s="1"/>
  <c r="R13" i="9"/>
  <c r="L13" i="9"/>
  <c r="H13" i="9"/>
  <c r="G13" i="9"/>
  <c r="E13" i="9" s="1"/>
  <c r="M13" i="9" s="1"/>
  <c r="C13" i="9"/>
  <c r="B13" i="9"/>
  <c r="O12" i="9"/>
  <c r="N12" i="9"/>
  <c r="L12" i="9" s="1"/>
  <c r="M12" i="9" s="1"/>
  <c r="K12" i="9"/>
  <c r="H12" i="9" s="1"/>
  <c r="J12" i="9"/>
  <c r="G12" i="9"/>
  <c r="F12" i="9"/>
  <c r="E12" i="9"/>
  <c r="N11" i="9"/>
  <c r="G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I12" i="9" l="1"/>
  <c r="S13" i="9"/>
  <c r="P13" i="9" s="1"/>
  <c r="G6" i="9"/>
  <c r="E6" i="9" s="1"/>
  <c r="M6" i="9" s="1"/>
  <c r="O5" i="9"/>
  <c r="O4" i="9" s="1"/>
  <c r="L8" i="9"/>
  <c r="F11" i="9"/>
  <c r="R11" i="9" s="1"/>
  <c r="R12" i="9"/>
  <c r="E14" i="9"/>
  <c r="M14" i="9" s="1"/>
  <c r="H14" i="9"/>
  <c r="I14" i="9" s="1"/>
  <c r="P15" i="9"/>
  <c r="L4" i="9"/>
  <c r="E10" i="9"/>
  <c r="Q284" i="1"/>
  <c r="E7" i="9"/>
  <c r="M7" i="9" s="1"/>
  <c r="G8" i="9"/>
  <c r="M10" i="9"/>
  <c r="S282" i="1"/>
  <c r="P282" i="1" s="1"/>
  <c r="E282" i="1"/>
  <c r="I282" i="1" s="1"/>
  <c r="P16" i="9"/>
  <c r="S12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Q7" i="9" l="1"/>
  <c r="S6" i="9"/>
  <c r="Q282" i="1"/>
  <c r="G5" i="9"/>
  <c r="G4" i="9" s="1"/>
  <c r="E4" i="9" s="1"/>
  <c r="M4" i="9" s="1"/>
  <c r="I6" i="9"/>
  <c r="I7" i="9"/>
  <c r="E5" i="9"/>
  <c r="Q9" i="9"/>
  <c r="I9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S5" i="9" l="1"/>
  <c r="P5" i="9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H234" i="1" l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P17" i="7" s="1"/>
  <c r="L17" i="7"/>
  <c r="H17" i="7"/>
  <c r="S17" i="7"/>
  <c r="C17" i="7"/>
  <c r="B17" i="7"/>
  <c r="N224" i="1" l="1"/>
  <c r="L224" i="1" s="1"/>
  <c r="L234" i="1"/>
  <c r="H222" i="1"/>
  <c r="I222" i="1" s="1"/>
  <c r="P234" i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R224" i="1" l="1"/>
  <c r="P224" i="1" s="1"/>
  <c r="Q224" i="1" s="1"/>
  <c r="H224" i="1"/>
  <c r="I224" i="1" s="1"/>
  <c r="P222" i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G4" i="1" s="1"/>
  <c r="I248" i="1"/>
  <c r="M248" i="1"/>
  <c r="E226" i="1" l="1"/>
  <c r="S226" i="1"/>
  <c r="P226" i="1" s="1"/>
  <c r="Q226" i="1" s="1"/>
  <c r="Q245" i="1"/>
  <c r="I226" i="1" l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<sst xmlns="http://schemas.openxmlformats.org/spreadsheetml/2006/main" count="557" uniqueCount="114">
  <si>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</si>
  <si>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</si>
  <si>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</si>
  <si>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</si>
  <si>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</si>
  <si>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</si>
  <si>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</si>
  <si>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</si>
  <si>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</si>
  <si>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</si>
  <si>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</si>
  <si>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</si>
  <si>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</si>
  <si>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</si>
  <si>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</si>
  <si>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</si>
  <si>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</si>
  <si>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</si>
  <si>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</si>
  <si>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</si>
  <si>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</si>
  <si>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</si>
  <si>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</si>
  <si>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</si>
  <si>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</si>
  <si>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</si>
  <si>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</si>
  <si>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</si>
  <si>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</si>
  <si>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</si>
  <si>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</si>
  <si>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</si>
  <si>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</si>
  <si>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</si>
  <si>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</si>
  <si>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</si>
  <si>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</si>
  <si>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</si>
  <si>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</si>
  <si>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</si>
  <si>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</si>
  <si>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</si>
  <si>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</si>
  <si>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</si>
  <si>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</si>
  <si>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</si>
  <si>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</si>
  <si>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</si>
  <si>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</si>
  <si>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</si>
  <si>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</si>
  <si>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</si>
  <si>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</si>
  <si>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</si>
  <si>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</si>
  <si>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</si>
  <si>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</si>
  <si>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</si>
  <si>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</si>
  <si>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</si>
  <si>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</si>
  <si>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</si>
  <si>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</si>
  <si>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</si>
  <si>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</si>
  <si>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</si>
  <si>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</si>
  <si>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</si>
  <si>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</si>
  <si>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</si>
  <si>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</si>
  <si>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</si>
  <si>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</si>
  <si>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</si>
  <si>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</si>
  <si>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</si>
  <si>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</si>
  <si>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</si>
  <si>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</si>
  <si>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</si>
  <si>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</si>
  <si>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</si>
  <si>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</si>
  <si>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</si>
  <si>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</si>
  <si>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</si>
  <si>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</si>
  <si>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</si>
  <si>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</si>
  <si>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</si>
  <si>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</si>
  <si>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</si>
  <si>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</si>
  <si>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</si>
  <si>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</si>
  <si>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</si>
  <si>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</si>
  <si>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</si>
  <si>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</si>
  <si>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</si>
  <si>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</si>
  <si>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</si>
  <si>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</si>
  <si>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</si>
  <si>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</si>
  <si>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</si>
  <si>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</si>
  <si>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</si>
  <si>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รายงานผลการเบิกจ่าย เงินงบประมาณ 2560  สำนักงานชลประทานที่ 2  ข้อมูลถึงณ วันที่ 16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</si>
  <si>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16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</si>
  <si>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16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</si>
  <si>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16  มิถุนายน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</si>
  <si>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16  มิถุนายน  2560</t>
  </si>
  <si>
    <t>12 มิย.60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</si>
</sst>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3576400</v>
          </cell>
        </row>
        <row r="7">
          <cell r="I7" t="str">
            <v>0700338006410035</v>
          </cell>
          <cell r="J7">
            <v>2700000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  <row r="8">
          <cell r="E8" t="str">
            <v>โครงการอ่างเก็บน้ำห้วยครึ่ง อ.เชียงของ จ.เชียงราย</v>
          </cell>
          <cell r="I8" t="str">
            <v>909090101477</v>
          </cell>
          <cell r="J8">
            <v>699000</v>
          </cell>
        </row>
        <row r="9">
          <cell r="E9" t="str">
            <v>โครงการฝายทุ่งกว๋าวพร้อมระบบส่งน้ำ อ.เมืองปาน จ.ลำปาง (โครงการพิเศษ)</v>
          </cell>
          <cell r="I9" t="str">
            <v>909090101474</v>
          </cell>
          <cell r="J9">
            <v>32002000</v>
          </cell>
        </row>
        <row r="10">
          <cell r="E10" t="str">
            <v>โครงการฝายทุ่งกว๋าวพร้อมระบบส่งน้ำ อ.เมืองปาน จ.ลำปาง (สชป.2)</v>
          </cell>
          <cell r="I10" t="str">
            <v>909090101474</v>
          </cell>
          <cell r="J10">
            <v>798000</v>
          </cell>
        </row>
        <row r="11">
          <cell r="E11" t="str">
            <v>โครงการอ่างเก็บน้ำห้วยหม้ออุ่งอันเนื่องมาจากพระราชดำริ อ.พาน จ.เชียงราย</v>
          </cell>
          <cell r="I11" t="str">
            <v>909090101476</v>
          </cell>
          <cell r="J11">
            <v>687500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7"/>
  <sheetViews>
    <sheetView tabSelected="1" topLeftCell="D1" zoomScale="115" zoomScaleNormal="115" workbookViewId="0">
      <pane ySplit="3" topLeftCell="A4" activePane="bottomLeft" state="frozen"/>
      <selection activeCell="O29" sqref="O29"/>
      <selection pane="bottomLeft" activeCell="K268" sqref="K268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83" t="s">
        <v>108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67"/>
      <c r="D2" s="88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68"/>
      <c r="D3" s="89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176161273</v>
      </c>
      <c r="F4" s="5">
        <f>F5+F275</f>
        <v>62299900</v>
      </c>
      <c r="G4" s="5">
        <f>G5+G201+G226+G275+G290+G293</f>
        <v>113861373</v>
      </c>
      <c r="H4" s="5">
        <f t="shared" ref="H4:H7" si="1">J4+K4</f>
        <v>60781856.539999999</v>
      </c>
      <c r="I4" s="5">
        <f>H4*100/E4</f>
        <v>34.503529354036857</v>
      </c>
      <c r="J4" s="5">
        <f>J5+J275</f>
        <v>1760050</v>
      </c>
      <c r="K4" s="5">
        <f>K5+K201+K226+K275+K290+K293</f>
        <v>59021806.539999999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O5+O201+O226+O275+O290+O293</f>
        <v>0</v>
      </c>
      <c r="P4" s="5">
        <f>E4-H4-L4</f>
        <v>115379416.46000001</v>
      </c>
      <c r="Q4" s="5">
        <f>P4*100/E4</f>
        <v>65.496470645963143</v>
      </c>
      <c r="R4" s="5">
        <f t="shared" ref="R4:S7" si="2">F4-J4-N4</f>
        <v>60539850</v>
      </c>
      <c r="S4" s="5">
        <f>G4-K4-O4</f>
        <v>54839566.460000001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31021403</v>
      </c>
      <c r="F5" s="52">
        <f>F6</f>
        <v>454000</v>
      </c>
      <c r="G5" s="51">
        <f>G6+G7+G8+G11+G69+G83+G101+G128+G180+G184+G193+G199</f>
        <v>30567403</v>
      </c>
      <c r="H5" s="52">
        <f>J5+K5</f>
        <v>26939611.820000004</v>
      </c>
      <c r="I5" s="52">
        <f>H5*100/E5</f>
        <v>86.842016204102706</v>
      </c>
      <c r="J5" s="52">
        <f>J6</f>
        <v>453850</v>
      </c>
      <c r="K5" s="52">
        <f>K6+K7+K8+K11+K69+K83+K101+K128+K180+K184+K193+K199</f>
        <v>26485761.820000004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4081791.179999996</v>
      </c>
      <c r="Q5" s="51">
        <f>P5*100/E5</f>
        <v>13.157983795897291</v>
      </c>
      <c r="R5" s="52">
        <f>F5-J5-N5</f>
        <v>150</v>
      </c>
      <c r="S5" s="52">
        <f>G5-K5-O5</f>
        <v>4081641.179999996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626304.74</v>
      </c>
      <c r="I7" s="7">
        <f t="shared" ref="I7" si="12">H7*100/E7</f>
        <v>62.630474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</f>
        <v>626304.74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373695.26</v>
      </c>
      <c r="Q7" s="7">
        <f t="shared" ref="Q7" si="16">P7*100/E7</f>
        <v>37.369526</v>
      </c>
      <c r="R7" s="7">
        <f t="shared" si="2"/>
        <v>0</v>
      </c>
      <c r="S7" s="7">
        <f t="shared" si="2"/>
        <v>373695.26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2328647.9800000004</v>
      </c>
      <c r="I11" s="49">
        <f>H11*100/E11</f>
        <v>93.164552110422107</v>
      </c>
      <c r="J11" s="49">
        <f>SUM(J12:J17)</f>
        <v>0</v>
      </c>
      <c r="K11" s="49">
        <f>SUM(K12:K68)</f>
        <v>2328647.9800000004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170852.01999999955</v>
      </c>
      <c r="Q11" s="49">
        <f t="shared" si="17"/>
        <v>6.8354478895778978</v>
      </c>
      <c r="R11" s="49">
        <f>SUM(R12:R17)</f>
        <v>0</v>
      </c>
      <c r="S11" s="49">
        <f>G11-K11-O11</f>
        <v>170852.01999999955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71977</v>
      </c>
      <c r="I18" s="7">
        <f t="shared" ref="I18" si="52">H18*100/E18</f>
        <v>99.968055555555551</v>
      </c>
      <c r="J18" s="7">
        <v>0</v>
      </c>
      <c r="K18" s="7">
        <f>14115+9200+7900+6202+4640+9840+3120+13600+3360</f>
        <v>71977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23</v>
      </c>
      <c r="Q18" s="7">
        <f t="shared" ref="Q18" si="56">P18*100/E18</f>
        <v>3.1944444444444442E-2</v>
      </c>
      <c r="R18" s="7">
        <f t="shared" ref="R18" si="57">F18-J18-N18</f>
        <v>0</v>
      </c>
      <c r="S18" s="7">
        <f t="shared" ref="S18" si="58">G18-K18-O18</f>
        <v>23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155431.20000000001</v>
      </c>
      <c r="I62" s="7">
        <f t="shared" ref="I62" si="88">H62*100/E62</f>
        <v>99.635384615384623</v>
      </c>
      <c r="J62" s="7">
        <v>0</v>
      </c>
      <c r="K62" s="7">
        <f>6200+21840+88326+20625.2+6480+4640+2320+5000</f>
        <v>155431.20000000001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568.79999999998836</v>
      </c>
      <c r="Q62" s="7">
        <f t="shared" ref="Q62" si="92">P62*100/E62</f>
        <v>0.36461538461537718</v>
      </c>
      <c r="R62" s="7">
        <f t="shared" ref="R62" si="93">F62-J62-N62</f>
        <v>0</v>
      </c>
      <c r="S62" s="7">
        <f t="shared" ref="S62" si="94">G62-K62-O62</f>
        <v>568.79999999998836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120992.1</v>
      </c>
      <c r="I63" s="7">
        <f t="shared" ref="I63:I65" si="97">H63*100/E63</f>
        <v>99.993471074380167</v>
      </c>
      <c r="J63" s="7">
        <v>0</v>
      </c>
      <c r="K63" s="7">
        <f>1976+17600+63090+21526.1+13200+3600</f>
        <v>120992.1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7.8999999999941792</v>
      </c>
      <c r="Q63" s="7">
        <f t="shared" ref="Q63:Q65" si="101">P63*100/E63</f>
        <v>6.5289256198299006E-3</v>
      </c>
      <c r="R63" s="7">
        <f t="shared" ref="R63:R65" si="102">F63-J63-N63</f>
        <v>0</v>
      </c>
      <c r="S63" s="7">
        <f t="shared" ref="S63:S65" si="103">G63-K63-O63</f>
        <v>7.8999999999941792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69054.179999999993</v>
      </c>
      <c r="I64" s="7">
        <f t="shared" si="97"/>
        <v>62.37956639566395</v>
      </c>
      <c r="J64" s="7">
        <v>0</v>
      </c>
      <c r="K64" s="7">
        <f>24435+5964.18+7375+18080+13200</f>
        <v>69054.179999999993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41645.820000000007</v>
      </c>
      <c r="Q64" s="7">
        <f t="shared" si="101"/>
        <v>37.62043360433605</v>
      </c>
      <c r="R64" s="7">
        <f t="shared" si="102"/>
        <v>0</v>
      </c>
      <c r="S64" s="7">
        <f t="shared" si="103"/>
        <v>41645.820000000007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73172.62</v>
      </c>
      <c r="I65" s="7">
        <f t="shared" si="97"/>
        <v>55.058404815650867</v>
      </c>
      <c r="J65" s="7">
        <v>0</v>
      </c>
      <c r="K65" s="7">
        <f>10527.62+11360+35365+8240+7680</f>
        <v>73172.62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59727.380000000005</v>
      </c>
      <c r="Q65" s="7">
        <f t="shared" si="101"/>
        <v>44.941595184349133</v>
      </c>
      <c r="R65" s="7">
        <f t="shared" si="102"/>
        <v>0</v>
      </c>
      <c r="S65" s="7">
        <f t="shared" si="103"/>
        <v>59727.380000000005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1040</v>
      </c>
      <c r="I68" s="7">
        <f t="shared" si="115"/>
        <v>1.980952380952381</v>
      </c>
      <c r="J68" s="7">
        <v>0</v>
      </c>
      <c r="K68" s="7">
        <f>1040</f>
        <v>1040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51460</v>
      </c>
      <c r="Q68" s="7">
        <f t="shared" si="119"/>
        <v>98.019047619047626</v>
      </c>
      <c r="R68" s="7">
        <f t="shared" si="120"/>
        <v>0</v>
      </c>
      <c r="S68" s="7">
        <f t="shared" si="121"/>
        <v>51460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10036430.000000002</v>
      </c>
      <c r="I69" s="49">
        <f>H69*100/E69</f>
        <v>93.886155285313393</v>
      </c>
      <c r="J69" s="49">
        <f>SUM(J70:J75)</f>
        <v>0</v>
      </c>
      <c r="K69" s="49">
        <f>SUM(K70:K82)</f>
        <v>10036430.000000002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653569.99999999814</v>
      </c>
      <c r="Q69" s="49">
        <f t="shared" si="47"/>
        <v>6.1138447146866053</v>
      </c>
      <c r="R69" s="49">
        <f>SUM(R70:R75)</f>
        <v>0</v>
      </c>
      <c r="S69" s="49">
        <f>G69-K69-O69</f>
        <v>653569.99999999814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861126.19999999984</v>
      </c>
      <c r="I70" s="7">
        <f t="shared" ref="I70" si="124">H70*100/E70</f>
        <v>94.629252747252735</v>
      </c>
      <c r="J70" s="7">
        <v>0</v>
      </c>
      <c r="K70" s="7">
        <f>113870+72362+46520+90598+64428+95400+2080+94840+11987.1+56781+56781+7407.2+50794.45+2320+44163+50794.45</f>
        <v>861126.19999999984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48873.800000000163</v>
      </c>
      <c r="Q70" s="7">
        <f t="shared" ref="Q70" si="128">P70*100/E70</f>
        <v>5.3707472527472708</v>
      </c>
      <c r="R70" s="7">
        <f t="shared" ref="R70" si="129">F70-J70-N70</f>
        <v>0</v>
      </c>
      <c r="S70" s="7">
        <f t="shared" ref="S70" si="130">G70-K70-O70</f>
        <v>48873.800000000163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478991.6</v>
      </c>
      <c r="I71" s="7">
        <f t="shared" ref="I71:I82" si="133">H71*100/E71</f>
        <v>95.798320000000004</v>
      </c>
      <c r="J71" s="7">
        <v>0</v>
      </c>
      <c r="K71" s="7">
        <f>55690+28560+44676+96810+28693+45559.8+24948+11987.1+25236+25236+11110.8+29025.4+11710.8+25236+14512.7</f>
        <v>478991.6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21008.400000000023</v>
      </c>
      <c r="Q71" s="7">
        <f t="shared" ref="Q71:Q84" si="137">P71*100/E71</f>
        <v>4.201680000000005</v>
      </c>
      <c r="R71" s="7">
        <f t="shared" ref="R71:R82" si="138">F71-J71-N71</f>
        <v>0</v>
      </c>
      <c r="S71" s="7">
        <f t="shared" ref="S71:S82" si="139">G71-K71-O71</f>
        <v>21008.400000000023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397700.3</v>
      </c>
      <c r="I72" s="7">
        <f t="shared" si="133"/>
        <v>79.540059999999997</v>
      </c>
      <c r="J72" s="7">
        <v>0</v>
      </c>
      <c r="K72" s="7">
        <f>55690+96810+28560+72744+45316.8+25035+11987.1+32532+29025.4</f>
        <v>397700.3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102299.70000000001</v>
      </c>
      <c r="Q72" s="7">
        <f t="shared" si="137"/>
        <v>20.459940000000003</v>
      </c>
      <c r="R72" s="7">
        <f t="shared" si="138"/>
        <v>0</v>
      </c>
      <c r="S72" s="7">
        <f t="shared" si="139"/>
        <v>102299.70000000001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844776.54999999993</v>
      </c>
      <c r="I73" s="7">
        <f t="shared" si="133"/>
        <v>93.864061111111113</v>
      </c>
      <c r="J73" s="7">
        <v>0</v>
      </c>
      <c r="K73" s="7">
        <f>44150+90000+57823+83658+80995.2+95648+19620+25035+11987.1+30982+44163+44163+25925.2+6390+50794.45+7256.35+31228.8+44163+50794.45</f>
        <v>844776.54999999993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55223.45000000007</v>
      </c>
      <c r="Q73" s="7">
        <f t="shared" si="137"/>
        <v>6.135938888888897</v>
      </c>
      <c r="R73" s="7">
        <f t="shared" si="138"/>
        <v>0</v>
      </c>
      <c r="S73" s="7">
        <f t="shared" si="139"/>
        <v>55223.45000000007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876378.89999999991</v>
      </c>
      <c r="I74" s="7">
        <f t="shared" si="133"/>
        <v>95.258576086956509</v>
      </c>
      <c r="J74" s="7">
        <v>0</v>
      </c>
      <c r="K74" s="7">
        <f>86295+99556.6+33440+97720+98796+87363+50400+24910+11987.1+37854+5392+37854+22221.6+43538.1+23421.6+37854+34237.8+43538.1</f>
        <v>876378.89999999991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43621.100000000093</v>
      </c>
      <c r="Q74" s="7">
        <f t="shared" si="137"/>
        <v>4.7414239130434881</v>
      </c>
      <c r="R74" s="7">
        <f t="shared" si="138"/>
        <v>0</v>
      </c>
      <c r="S74" s="7">
        <f t="shared" si="139"/>
        <v>43621.100000000093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873522.29999999981</v>
      </c>
      <c r="I75" s="7">
        <f t="shared" si="133"/>
        <v>94.948076086956505</v>
      </c>
      <c r="J75" s="7">
        <v>0</v>
      </c>
      <c r="K75" s="7">
        <f>86295+87363+98796+86159+95401+99556.6+25040+11987.1+37854+37854+22221.6+43538.1+23421.6+37854+36643.2+43538.1</f>
        <v>873522.29999999981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46477.700000000186</v>
      </c>
      <c r="Q75" s="7">
        <f t="shared" si="137"/>
        <v>5.0519239130434981</v>
      </c>
      <c r="R75" s="7">
        <f t="shared" si="138"/>
        <v>0</v>
      </c>
      <c r="S75" s="7">
        <f t="shared" si="139"/>
        <v>46477.700000000186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872485.65</v>
      </c>
      <c r="I76" s="7">
        <f t="shared" si="133"/>
        <v>94.835396739130431</v>
      </c>
      <c r="J76" s="7">
        <v>0</v>
      </c>
      <c r="K76" s="7">
        <f>86295+30205+95401+87363+99025.6+86159+98796+11987.1+37854+37854+6480+22221.6+58050.8+3120+31228.8+31545+12618+36281.75</f>
        <v>872485.65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47514.349999999977</v>
      </c>
      <c r="Q76" s="7">
        <f t="shared" si="137"/>
        <v>5.1646032608695629</v>
      </c>
      <c r="R76" s="7">
        <f t="shared" si="138"/>
        <v>0</v>
      </c>
      <c r="S76" s="7">
        <f t="shared" si="139"/>
        <v>47514.349999999977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917152.15</v>
      </c>
      <c r="I77" s="7">
        <f t="shared" si="133"/>
        <v>95.536682291666665</v>
      </c>
      <c r="J77" s="7">
        <v>0</v>
      </c>
      <c r="K77" s="7">
        <f>159834.75+71250+99710+99085+90920+83920+34940+11987.1+38502+38502+18518+44282.65+21518+38502+19318+2080+44282.65</f>
        <v>917152.15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42847.849999999977</v>
      </c>
      <c r="Q77" s="7">
        <f t="shared" si="137"/>
        <v>4.4633177083333315</v>
      </c>
      <c r="R77" s="7">
        <f t="shared" si="138"/>
        <v>0</v>
      </c>
      <c r="S77" s="7">
        <f t="shared" si="139"/>
        <v>42847.849999999977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879077.49999999988</v>
      </c>
      <c r="I78" s="7">
        <f t="shared" si="133"/>
        <v>91.570572916666649</v>
      </c>
      <c r="J78" s="7">
        <v>0</v>
      </c>
      <c r="K78" s="7">
        <f>159834.75+34940+71250+83920+90920+99085+99710+11987.1+37854+37854+13816.2+43538.1+23421.6+31545+36281.75+3120</f>
        <v>879077.49999999988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80922.500000000116</v>
      </c>
      <c r="Q78" s="7">
        <f t="shared" si="137"/>
        <v>8.4294270833333442</v>
      </c>
      <c r="R78" s="7">
        <f t="shared" si="138"/>
        <v>0</v>
      </c>
      <c r="S78" s="7">
        <f t="shared" si="139"/>
        <v>80922.500000000116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915854.84999999986</v>
      </c>
      <c r="I79" s="7">
        <f t="shared" si="133"/>
        <v>95.40154687499998</v>
      </c>
      <c r="J79" s="7">
        <v>0</v>
      </c>
      <c r="K79" s="7">
        <f>159834.75+91860+99225+83920+71250+22295+34830+78050+11987.1+44163+44163+3703.6+22221.6+43538.1+23421.6+37854+43538.1</f>
        <v>915854.84999999986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44145.15000000014</v>
      </c>
      <c r="Q79" s="7">
        <f t="shared" si="137"/>
        <v>4.5984531250000149</v>
      </c>
      <c r="R79" s="7">
        <f t="shared" si="138"/>
        <v>0</v>
      </c>
      <c r="S79" s="7">
        <f t="shared" si="139"/>
        <v>44145.15000000014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904660.54999999993</v>
      </c>
      <c r="I80" s="7">
        <f t="shared" si="133"/>
        <v>94.23547395833333</v>
      </c>
      <c r="J80" s="7">
        <v>0</v>
      </c>
      <c r="K80" s="7">
        <f>159834.75+83920+99225+91860+78050+71250+22295+34350+11987.1+37854+37854+14814.4+43538.1+7256.35+15614.4+37854+6309+50794.45</f>
        <v>904660.54999999993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55339.45000000007</v>
      </c>
      <c r="Q80" s="7">
        <f t="shared" si="137"/>
        <v>5.7645260416666746</v>
      </c>
      <c r="R80" s="7">
        <f t="shared" si="138"/>
        <v>0</v>
      </c>
      <c r="S80" s="7">
        <f t="shared" si="139"/>
        <v>55339.45000000007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845376.89999999991</v>
      </c>
      <c r="I81" s="7">
        <f t="shared" si="133"/>
        <v>92.898560439560427</v>
      </c>
      <c r="J81" s="7">
        <v>0</v>
      </c>
      <c r="K81" s="7">
        <f>30205+132047.25+71177+62000+98840+73500+78884.8+20580+11987.1+6309+37854+6309+37854+22221.6+50794.45+23421.6+6309+31545+7256.35+36281.75</f>
        <v>845376.89999999991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64623.100000000093</v>
      </c>
      <c r="Q81" s="7">
        <f t="shared" si="137"/>
        <v>7.1014395604395704</v>
      </c>
      <c r="R81" s="7">
        <f t="shared" si="138"/>
        <v>0</v>
      </c>
      <c r="S81" s="7">
        <f t="shared" si="139"/>
        <v>64623.100000000093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764462</v>
      </c>
      <c r="I83" s="49">
        <f>H83*100/E83</f>
        <v>93.397923029932798</v>
      </c>
      <c r="J83" s="49">
        <f>SUM(J84:J89)</f>
        <v>0</v>
      </c>
      <c r="K83" s="49">
        <f>SUM(K84:K100)</f>
        <v>764462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54038</v>
      </c>
      <c r="Q83" s="49">
        <f t="shared" si="137"/>
        <v>6.6020769700671957</v>
      </c>
      <c r="R83" s="49">
        <f>SUM(R84:R89)</f>
        <v>0</v>
      </c>
      <c r="S83" s="49">
        <f>G83-K83-O83</f>
        <v>54038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167634.54999999999</v>
      </c>
      <c r="I99" s="7">
        <f t="shared" ref="I99" si="176">H99*100/E99</f>
        <v>76.197522727272712</v>
      </c>
      <c r="J99" s="7">
        <v>0</v>
      </c>
      <c r="K99" s="7">
        <f>10025+18927+5463+6240+7520+5126+6378+18927+2970+21769.05+6240+4640+5610+18927+6240+3528+2350+5347+6887+4520.5</f>
        <v>167634.54999999999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52365.450000000012</v>
      </c>
      <c r="Q99" s="7">
        <f t="shared" ref="Q99" si="180">P99*100/E99</f>
        <v>23.802477272727277</v>
      </c>
      <c r="R99" s="7">
        <f t="shared" ref="R99" si="181">F99-J99-N99</f>
        <v>0</v>
      </c>
      <c r="S99" s="7">
        <f t="shared" ref="S99" si="182">G99-K99-O99</f>
        <v>52365.450000000012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1006252.8999999999</v>
      </c>
      <c r="I101" s="49">
        <f>H101*100/E101</f>
        <v>99.240586102117149</v>
      </c>
      <c r="J101" s="49">
        <f>SUM(J102:J107)</f>
        <v>0</v>
      </c>
      <c r="K101" s="49">
        <f>SUM(K102:K127)</f>
        <v>1006252.8999999999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7700.1000000000931</v>
      </c>
      <c r="Q101" s="49">
        <f t="shared" si="162"/>
        <v>0.75941389788284985</v>
      </c>
      <c r="R101" s="49">
        <f>SUM(R102:R107)</f>
        <v>0</v>
      </c>
      <c r="S101" s="49">
        <f>G101-K101-O101</f>
        <v>7700.1000000000931</v>
      </c>
      <c r="T101" s="26">
        <f>I101+M101+Q101</f>
        <v>100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105584</v>
      </c>
      <c r="I125" s="7">
        <f t="shared" ref="I125:I127" si="228">H125*100/E125</f>
        <v>97.58856857652529</v>
      </c>
      <c r="J125" s="7">
        <v>0</v>
      </c>
      <c r="K125" s="7">
        <f>48359+24935+14960+3120+5920+8050+240</f>
        <v>105584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2609</v>
      </c>
      <c r="Q125" s="7">
        <f t="shared" ref="Q125:Q127" si="232">P125*100/E125</f>
        <v>2.4114314234747165</v>
      </c>
      <c r="R125" s="7">
        <f t="shared" ref="R125:R127" si="233">F125-J125-N125</f>
        <v>0</v>
      </c>
      <c r="S125" s="7">
        <f t="shared" ref="S125:S127" si="234">G125-K125-O125</f>
        <v>2609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537477.10000000009</v>
      </c>
      <c r="I128" s="49">
        <f>H128*100/E128</f>
        <v>74.608148250971695</v>
      </c>
      <c r="J128" s="49">
        <f>SUM(J130:J136)</f>
        <v>0</v>
      </c>
      <c r="K128" s="49">
        <f>SUM(K129:K179)</f>
        <v>537477.10000000009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182922.89999999991</v>
      </c>
      <c r="Q128" s="49">
        <f t="shared" si="205"/>
        <v>25.391851749028309</v>
      </c>
      <c r="R128" s="49">
        <f>SUM(R130:R134)</f>
        <v>0</v>
      </c>
      <c r="S128" s="49">
        <f>G128-K128-O128</f>
        <v>182922.89999999991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180402.40000000002</v>
      </c>
      <c r="I179" s="7">
        <f t="shared" ref="I179" si="280">H179*100/E179</f>
        <v>49.986810750900538</v>
      </c>
      <c r="J179" s="7">
        <v>0</v>
      </c>
      <c r="K179" s="7">
        <f>12618+10360+4640+12618+27720+10232+5957+6145+2320+7020+2800+14512.7+30020+18927+14512.7</f>
        <v>180402.40000000002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180497.59999999998</v>
      </c>
      <c r="Q179" s="7">
        <f t="shared" ref="Q179" si="284">P179*100/E179</f>
        <v>50.013189249099462</v>
      </c>
      <c r="R179" s="7">
        <f t="shared" ref="R179" si="285">F179-J179-N179</f>
        <v>0</v>
      </c>
      <c r="S179" s="7">
        <f t="shared" ref="S179" si="286">G179-K179-O179</f>
        <v>180497.59999999998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8501400</v>
      </c>
      <c r="F180" s="49">
        <f>SUM(F182:F183)</f>
        <v>0</v>
      </c>
      <c r="G180" s="49">
        <f>SUM(G181:G183)</f>
        <v>8501400</v>
      </c>
      <c r="H180" s="49">
        <f>J180+K180</f>
        <v>6304750.9499999993</v>
      </c>
      <c r="I180" s="49">
        <f>H180*100/E180</f>
        <v>74.161325781635952</v>
      </c>
      <c r="J180" s="49">
        <f>SUM(J181:J182)</f>
        <v>0</v>
      </c>
      <c r="K180" s="49">
        <f>SUM(K181:K183)</f>
        <v>6304750.9499999993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2196649.0500000007</v>
      </c>
      <c r="Q180" s="49">
        <f t="shared" si="257"/>
        <v>25.838674218364041</v>
      </c>
      <c r="R180" s="49">
        <f>SUM(R182:R205)</f>
        <v>0</v>
      </c>
      <c r="S180" s="49">
        <f>G180-K180-O180</f>
        <v>2196649.0500000007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1651991.7799999996</v>
      </c>
      <c r="I181" s="7">
        <f t="shared" ref="I181" si="289">H181*100/E181</f>
        <v>74.246821573033699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</f>
        <v>1651991.7799999996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573008.22000000044</v>
      </c>
      <c r="Q181" s="7">
        <f t="shared" ref="Q181" si="293">P181*100/E181</f>
        <v>25.753178426966311</v>
      </c>
      <c r="R181" s="7">
        <f t="shared" ref="R181" si="294">F181-J181-N181</f>
        <v>0</v>
      </c>
      <c r="S181" s="7">
        <f t="shared" ref="S181" si="295">G181-K181-O181</f>
        <v>573008.22000000044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3576400</v>
      </c>
      <c r="F182" s="7">
        <v>0</v>
      </c>
      <c r="G182" s="8">
        <f>[18]รายการสรุป!$J$6</f>
        <v>3576400</v>
      </c>
      <c r="H182" s="7">
        <f t="shared" ref="H182" si="297">J182+K182</f>
        <v>2522889.5699999998</v>
      </c>
      <c r="I182" s="7">
        <f t="shared" ref="I182" si="298">H182*100/E182</f>
        <v>70.542712504194157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+17260+34650</f>
        <v>2522889.5699999998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1053510.4300000002</v>
      </c>
      <c r="Q182" s="7">
        <f t="shared" ref="Q182:Q185" si="302">P182*100/E182</f>
        <v>29.457287495805843</v>
      </c>
      <c r="R182" s="7">
        <f t="shared" ref="R182" si="303">F182-J182-N182</f>
        <v>0</v>
      </c>
      <c r="S182" s="7">
        <f t="shared" ref="S182" si="304">G182-K182-O182</f>
        <v>1053510.4300000002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2700000</v>
      </c>
      <c r="F183" s="7">
        <v>0</v>
      </c>
      <c r="G183" s="8">
        <f>[18]รายการสรุป!$J$7</f>
        <v>2700000</v>
      </c>
      <c r="H183" s="7">
        <f t="shared" ref="H183" si="306">J183+K183</f>
        <v>2129869.6</v>
      </c>
      <c r="I183" s="7">
        <f t="shared" ref="I183" si="307">H183*100/E183</f>
        <v>78.88405925925926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+23268</f>
        <v>2129869.6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570130.39999999991</v>
      </c>
      <c r="Q183" s="7">
        <f t="shared" ref="Q183" si="311">P183*100/E183</f>
        <v>21.115940740740736</v>
      </c>
      <c r="R183" s="7">
        <f t="shared" ref="R183" si="312">F183-J183-N183</f>
        <v>0</v>
      </c>
      <c r="S183" s="7">
        <f t="shared" ref="S183" si="313">G183-K183-O183</f>
        <v>570130.39999999991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3883492.8499999996</v>
      </c>
      <c r="I184" s="49">
        <f>H184*100/E184</f>
        <v>99.301750281272362</v>
      </c>
      <c r="J184" s="49">
        <f>SUM(J185:J186)</f>
        <v>0</v>
      </c>
      <c r="K184" s="49">
        <f>SUM(K185:K192)</f>
        <v>3883492.8499999996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27307.150000000373</v>
      </c>
      <c r="Q184" s="49">
        <f t="shared" si="302"/>
        <v>0.69824971872763564</v>
      </c>
      <c r="R184" s="49">
        <f>SUM(R186:R210)</f>
        <v>0</v>
      </c>
      <c r="S184" s="49">
        <f>G184-K184-O184</f>
        <v>27307.150000000373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1081415.95</v>
      </c>
      <c r="I192" s="7">
        <f t="shared" si="359"/>
        <v>98.310540909090903</v>
      </c>
      <c r="J192" s="7">
        <v>0</v>
      </c>
      <c r="K192" s="7">
        <f>61387+13230+10290+40805+246068.1+210315+113400+276485.85+102153+7282</f>
        <v>1081415.95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18584.050000000047</v>
      </c>
      <c r="Q192" s="7">
        <f t="shared" si="363"/>
        <v>1.6894590909090952</v>
      </c>
      <c r="R192" s="7">
        <f t="shared" si="364"/>
        <v>0</v>
      </c>
      <c r="S192" s="7">
        <f t="shared" si="365"/>
        <v>18584.050000000047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853811.7</v>
      </c>
      <c r="I193" s="49">
        <f>H193*100/E193</f>
        <v>67.851147525350456</v>
      </c>
      <c r="J193" s="49">
        <f>SUM(J194:J196)</f>
        <v>0</v>
      </c>
      <c r="K193" s="49">
        <f>SUM(K194:K198)</f>
        <v>853811.7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404548.30000000005</v>
      </c>
      <c r="Q193" s="49">
        <f t="shared" si="345"/>
        <v>32.148852474649551</v>
      </c>
      <c r="R193" s="49">
        <f>SUM(R195:R216)</f>
        <v>0</v>
      </c>
      <c r="S193" s="49">
        <f>G193-K193-O193</f>
        <v>404548.30000000005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20819.7</v>
      </c>
      <c r="I198" s="7">
        <f t="shared" ref="I198" si="395">H198*100/E198</f>
        <v>7.4017704778156999</v>
      </c>
      <c r="J198" s="7">
        <v>0</v>
      </c>
      <c r="K198" s="7">
        <f>20819.7</f>
        <v>20819.7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260460.3</v>
      </c>
      <c r="Q198" s="7">
        <f t="shared" ref="Q198" si="399">P198*100/E198</f>
        <v>92.598229522184297</v>
      </c>
      <c r="R198" s="7">
        <f t="shared" ref="R198" si="400">F198-J198-N198</f>
        <v>0</v>
      </c>
      <c r="S198" s="7">
        <f t="shared" ref="S198" si="401">G198-K198-O198</f>
        <v>260460.3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2336507.8400000003</v>
      </c>
      <c r="I201" s="7">
        <f>H201*100/E201</f>
        <v>41.934524570156867</v>
      </c>
      <c r="J201" s="50">
        <v>0</v>
      </c>
      <c r="K201" s="52">
        <f>K202+K209+K222+K224</f>
        <v>2336507.8400000003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3235292.1599999997</v>
      </c>
      <c r="Q201" s="51">
        <f>P201*100/E201</f>
        <v>58.065475429843126</v>
      </c>
      <c r="R201" s="50">
        <v>0</v>
      </c>
      <c r="S201" s="52">
        <f>G201-K201-O201</f>
        <v>3235292.1599999997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369432.9</v>
      </c>
      <c r="I202" s="49">
        <f>H202*100/E202</f>
        <v>61.881557788944725</v>
      </c>
      <c r="J202" s="49">
        <f>SUM(J204:J213)</f>
        <v>0</v>
      </c>
      <c r="K202" s="49">
        <f>SUM(K203:K208)</f>
        <v>369432.9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227567.09999999998</v>
      </c>
      <c r="Q202" s="7">
        <f t="shared" ref="Q202:Q203" si="411">P202*100/E202</f>
        <v>38.118442211055267</v>
      </c>
      <c r="R202" s="49">
        <f>SUM(R204:R211)</f>
        <v>0</v>
      </c>
      <c r="S202" s="49">
        <f>G202-K202-O202</f>
        <v>227567.09999999998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77400</v>
      </c>
      <c r="I207" s="7">
        <f t="shared" ref="I207" si="440">H207*100/E207</f>
        <v>99.230769230769226</v>
      </c>
      <c r="J207" s="7">
        <v>0</v>
      </c>
      <c r="K207" s="7">
        <f>77400</f>
        <v>77400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600</v>
      </c>
      <c r="Q207" s="7">
        <f t="shared" ref="Q207" si="444">P207*100/E207</f>
        <v>0.76923076923076927</v>
      </c>
      <c r="R207" s="7">
        <f t="shared" ref="R207" si="445">F207-J207-N207</f>
        <v>0</v>
      </c>
      <c r="S207" s="7">
        <f t="shared" ref="S207" si="446">G207-K207-O207</f>
        <v>600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107430</v>
      </c>
      <c r="I208" s="7">
        <f t="shared" ref="I208" si="449">H208*100/E208</f>
        <v>99.472222222222229</v>
      </c>
      <c r="J208" s="7">
        <v>0</v>
      </c>
      <c r="K208" s="7">
        <f>63470+43960</f>
        <v>107430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570</v>
      </c>
      <c r="Q208" s="7">
        <f t="shared" ref="Q208" si="453">P208*100/E208</f>
        <v>0.52777777777777779</v>
      </c>
      <c r="R208" s="7">
        <f t="shared" ref="R208" si="454">F208-J208-N208</f>
        <v>0</v>
      </c>
      <c r="S208" s="7">
        <f t="shared" ref="S208" si="455">G208-K208-O208</f>
        <v>570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1448209.9400000002</v>
      </c>
      <c r="I209" s="49">
        <f>H209*100/E209</f>
        <v>36.625526415619241</v>
      </c>
      <c r="J209" s="49">
        <f>SUM(J211:J217)</f>
        <v>0</v>
      </c>
      <c r="K209" s="49">
        <f>SUM(K210:K221)</f>
        <v>1448209.9400000002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2505890.0599999996</v>
      </c>
      <c r="Q209" s="7">
        <f t="shared" si="426"/>
        <v>63.374473584380759</v>
      </c>
      <c r="R209" s="49">
        <f>SUM(R211:R215)</f>
        <v>0</v>
      </c>
      <c r="S209" s="49">
        <f>G209-K209-O209</f>
        <v>2505890.0599999996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50794.45</v>
      </c>
      <c r="I213" s="7">
        <f t="shared" si="467"/>
        <v>41.296300813008131</v>
      </c>
      <c r="J213" s="7">
        <v>0</v>
      </c>
      <c r="K213" s="7">
        <f>50794.45</f>
        <v>50794.45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72205.55</v>
      </c>
      <c r="Q213" s="7">
        <f t="shared" si="471"/>
        <v>58.703699186991869</v>
      </c>
      <c r="R213" s="7">
        <f t="shared" si="472"/>
        <v>0</v>
      </c>
      <c r="S213" s="7">
        <f t="shared" si="473"/>
        <v>72205.55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159413.34000000003</v>
      </c>
      <c r="I215" s="7">
        <f t="shared" si="467"/>
        <v>28.692105831533482</v>
      </c>
      <c r="J215" s="7">
        <v>0</v>
      </c>
      <c r="K215" s="7">
        <f>66051.7+2953.6+35037.8+20939.79+13266+2953.6+8000.9+7256.35+2953.6</f>
        <v>159413.34000000003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396186.66</v>
      </c>
      <c r="Q215" s="7">
        <f t="shared" si="471"/>
        <v>71.307894168466518</v>
      </c>
      <c r="R215" s="7">
        <f t="shared" si="472"/>
        <v>0</v>
      </c>
      <c r="S215" s="7">
        <f t="shared" si="473"/>
        <v>396186.66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410519.35</v>
      </c>
      <c r="I218" s="7">
        <f t="shared" ref="I218" si="476">H218*100/E218</f>
        <v>87.344542553191488</v>
      </c>
      <c r="J218" s="7">
        <v>0</v>
      </c>
      <c r="K218" s="7">
        <f>10591+51120+9409.9+33747+2080+2320+51120+9280+35638.7+3120+5200+36750+1040+3120+94332.55+54570.2+2080+5000</f>
        <v>410519.35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59480.650000000023</v>
      </c>
      <c r="Q218" s="7">
        <f t="shared" ref="Q218" si="480">P218*100/E218</f>
        <v>12.655457446808514</v>
      </c>
      <c r="R218" s="7">
        <f t="shared" ref="R218" si="481">F218-J218-N218</f>
        <v>0</v>
      </c>
      <c r="S218" s="7">
        <f t="shared" ref="S218" si="482">G218-K218-O218</f>
        <v>59480.650000000023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131970</v>
      </c>
      <c r="I219" s="7">
        <f t="shared" ref="I219" si="485">H219*100/E219</f>
        <v>99.977272727272734</v>
      </c>
      <c r="J219" s="7">
        <v>0</v>
      </c>
      <c r="K219" s="7">
        <f>80070+51900</f>
        <v>131970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30</v>
      </c>
      <c r="Q219" s="7">
        <f t="shared" ref="Q219" si="489">P219*100/E219</f>
        <v>2.2727272727272728E-2</v>
      </c>
      <c r="R219" s="7">
        <f t="shared" ref="R219" si="490">F219-J219-N219</f>
        <v>0</v>
      </c>
      <c r="S219" s="7">
        <f t="shared" ref="S219" si="491">G219-K219-O219</f>
        <v>30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225957.95</v>
      </c>
      <c r="I220" s="7">
        <f t="shared" ref="I220:I221" si="494">H220*100/E220</f>
        <v>47.974087048832274</v>
      </c>
      <c r="J220" s="7">
        <v>0</v>
      </c>
      <c r="K220" s="7">
        <f>44163+44163+50794.45+37854+10383+1280+33815.5+3505</f>
        <v>225957.95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245042.05</v>
      </c>
      <c r="Q220" s="7">
        <f t="shared" ref="Q220:Q222" si="498">P220*100/E220</f>
        <v>52.025912951167726</v>
      </c>
      <c r="R220" s="7">
        <f t="shared" ref="R220:R221" si="499">F220-J220-N220</f>
        <v>0</v>
      </c>
      <c r="S220" s="7">
        <f t="shared" ref="S220:S221" si="500">G220-K220-O220</f>
        <v>245042.05</v>
      </c>
    </row>
    <row r="221" spans="1:19" ht="44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430754.85000000003</v>
      </c>
      <c r="I221" s="7">
        <f t="shared" si="494"/>
        <v>78.319063636363637</v>
      </c>
      <c r="J221" s="7">
        <v>0</v>
      </c>
      <c r="K221" s="7">
        <f>41323.95+15000+3000+3001.8+4520+46055.7+21718.9+22562+7035+14512.7+21695.5+7256.35+9159+2080+6309+1040+2953.6+15520+79819.85+45159.4+45420+7256.35+2953.6+2402.15+3000</f>
        <v>430754.85000000003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119245.14999999997</v>
      </c>
      <c r="Q221" s="7">
        <f t="shared" si="498"/>
        <v>21.680936363636356</v>
      </c>
      <c r="R221" s="7">
        <f t="shared" si="499"/>
        <v>0</v>
      </c>
      <c r="S221" s="7">
        <f t="shared" si="500"/>
        <v>119245.14999999997</v>
      </c>
    </row>
    <row r="222" spans="1:19" ht="35.25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252580.84999999998</v>
      </c>
      <c r="I222" s="49">
        <f>H222*100/E222</f>
        <v>47.123292910447752</v>
      </c>
      <c r="J222" s="49">
        <f>SUM(J223)</f>
        <v>0</v>
      </c>
      <c r="K222" s="49">
        <f>SUM(K223)</f>
        <v>252580.84999999998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283419.15000000002</v>
      </c>
      <c r="Q222" s="7">
        <f t="shared" si="498"/>
        <v>52.876707089552248</v>
      </c>
      <c r="R222" s="49">
        <f>SUM(R223)</f>
        <v>0</v>
      </c>
      <c r="S222" s="49">
        <f>G222-K222-O222</f>
        <v>283419.15000000002</v>
      </c>
    </row>
    <row r="223" spans="1:19" ht="36.75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252580.84999999998</v>
      </c>
      <c r="I223" s="7">
        <f t="shared" ref="I223" si="503">H223*100/E223</f>
        <v>47.123292910447752</v>
      </c>
      <c r="J223" s="7">
        <v>0</v>
      </c>
      <c r="K223" s="7">
        <f>18927+12600+18927+21310+21769.05+15040+36000+18927+20190.8+68890</f>
        <v>252580.84999999998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283419.15000000002</v>
      </c>
      <c r="Q223" s="7">
        <f t="shared" ref="Q223:Q224" si="507">P223*100/E223</f>
        <v>52.876707089552248</v>
      </c>
      <c r="R223" s="7">
        <f t="shared" ref="R223" si="508">F223-J223-N223</f>
        <v>0</v>
      </c>
      <c r="S223" s="7">
        <f t="shared" ref="S223" si="509">G223-K223-O223</f>
        <v>283419.15000000002</v>
      </c>
    </row>
    <row r="224" spans="1:19" ht="28.5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266284.15000000002</v>
      </c>
      <c r="I224" s="49">
        <f>H224*100/E224</f>
        <v>54.937930678770378</v>
      </c>
      <c r="J224" s="49">
        <f>SUM(J225)</f>
        <v>0</v>
      </c>
      <c r="K224" s="49">
        <f>SUM(K225)</f>
        <v>266284.15000000002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218415.84999999998</v>
      </c>
      <c r="Q224" s="7">
        <f t="shared" si="507"/>
        <v>45.062069321229622</v>
      </c>
      <c r="R224" s="49">
        <f>F224-J224-N224</f>
        <v>0</v>
      </c>
      <c r="S224" s="49">
        <f>G224-K224-O224</f>
        <v>218415.84999999998</v>
      </c>
    </row>
    <row r="225" spans="1:20" ht="47.25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266284.15000000002</v>
      </c>
      <c r="I225" s="7">
        <f t="shared" ref="I225" si="512">H225*100/E225</f>
        <v>54.937930678770378</v>
      </c>
      <c r="J225" s="7">
        <v>0</v>
      </c>
      <c r="K225" s="7">
        <f>2560+8816+17950+50472+78228.8+1280+1040+6240+4778+21453.6+36281.75+11866+25318</f>
        <v>266284.15000000002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218415.84999999998</v>
      </c>
      <c r="Q225" s="7">
        <f t="shared" ref="Q225" si="516">P225*100/E225</f>
        <v>45.062069321229622</v>
      </c>
      <c r="R225" s="7">
        <f t="shared" ref="R225" si="517">F225-J225-N225</f>
        <v>0</v>
      </c>
      <c r="S225" s="7">
        <f t="shared" ref="S225" si="518">G225-K225-O225</f>
        <v>218415.84999999998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14330609.329999996</v>
      </c>
      <c r="I226" s="52">
        <f>H226*100/E226</f>
        <v>72.676697940491806</v>
      </c>
      <c r="J226" s="50">
        <v>0</v>
      </c>
      <c r="K226" s="52">
        <f>K227+K234+K245+K250+K252+K262+K267+K271+K273</f>
        <v>14330609.329999996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5387690.6700000037</v>
      </c>
      <c r="Q226" s="51">
        <f>P226*100/E226</f>
        <v>27.32330205950819</v>
      </c>
      <c r="R226" s="50">
        <v>0</v>
      </c>
      <c r="S226" s="52">
        <f>G226-K226-O226</f>
        <v>5387690.6700000037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1290680.3</v>
      </c>
      <c r="L227" s="48"/>
      <c r="M227" s="48"/>
      <c r="N227" s="48"/>
      <c r="O227" s="49">
        <f>SUM(O228:O233)</f>
        <v>0</v>
      </c>
      <c r="P227" s="49">
        <f>R227+S227</f>
        <v>1228319.7</v>
      </c>
      <c r="Q227" s="49">
        <f>P227*100/E227</f>
        <v>48.762195315601431</v>
      </c>
      <c r="R227" s="49">
        <v>0</v>
      </c>
      <c r="S227" s="49">
        <f>G227-K227-O227</f>
        <v>1228319.7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343879.5</v>
      </c>
      <c r="I228" s="7">
        <f t="shared" ref="I228" si="521">H228*100/E228</f>
        <v>70.036558044806512</v>
      </c>
      <c r="J228" s="7">
        <v>0</v>
      </c>
      <c r="K228" s="7">
        <f>217690.5+126189</f>
        <v>343879.5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147120.5</v>
      </c>
      <c r="Q228" s="7">
        <f t="shared" ref="Q228" si="525">P228*100/E228</f>
        <v>29.963441955193481</v>
      </c>
      <c r="R228" s="7">
        <f t="shared" ref="R228" si="526">F228-J228-N228</f>
        <v>0</v>
      </c>
      <c r="S228" s="7">
        <f t="shared" ref="S228" si="527">G228-K228-O228</f>
        <v>147120.5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186114.15</v>
      </c>
      <c r="I229" s="7">
        <f t="shared" ref="I229:I231" si="530">H229*100/E229</f>
        <v>39.347600422832983</v>
      </c>
      <c r="J229" s="7">
        <v>0</v>
      </c>
      <c r="K229" s="7">
        <f>49210.2+39240.5+6960+33600+57103.45</f>
        <v>186114.15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286885.84999999998</v>
      </c>
      <c r="Q229" s="7">
        <f t="shared" ref="Q229:Q231" si="534">P229*100/E229</f>
        <v>60.65239957716701</v>
      </c>
      <c r="R229" s="7">
        <f t="shared" ref="R229:R231" si="535">F229-J229-N229</f>
        <v>0</v>
      </c>
      <c r="S229" s="7">
        <f t="shared" ref="S229:S231" si="536">G229-K229-O229</f>
        <v>286885.84999999998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362861.65</v>
      </c>
      <c r="I231" s="7">
        <f t="shared" si="530"/>
        <v>70.050511583011584</v>
      </c>
      <c r="J231" s="7">
        <v>0</v>
      </c>
      <c r="K231" s="7">
        <f>166896.05+195965.6</f>
        <v>362861.65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155138.34999999998</v>
      </c>
      <c r="Q231" s="7">
        <f t="shared" si="534"/>
        <v>29.949488416988412</v>
      </c>
      <c r="R231" s="7">
        <f t="shared" si="535"/>
        <v>0</v>
      </c>
      <c r="S231" s="7">
        <f t="shared" si="536"/>
        <v>155138.34999999998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397825</v>
      </c>
      <c r="I233" s="7">
        <f t="shared" si="539"/>
        <v>72.688653389365982</v>
      </c>
      <c r="J233" s="7">
        <v>0</v>
      </c>
      <c r="K233" s="7">
        <f>59935.5+51054+72563.5+50072+164200</f>
        <v>397825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149475</v>
      </c>
      <c r="Q233" s="7">
        <f t="shared" si="543"/>
        <v>27.311346610634022</v>
      </c>
      <c r="R233" s="7">
        <f t="shared" si="544"/>
        <v>0</v>
      </c>
      <c r="S233" s="7">
        <f t="shared" si="545"/>
        <v>149475</v>
      </c>
    </row>
    <row r="234" spans="1:20" ht="36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5914657.8199999994</v>
      </c>
      <c r="I234" s="49">
        <f>H234*100/E234</f>
        <v>76.97769040553905</v>
      </c>
      <c r="J234" s="49">
        <f>SUM(J235:J244)</f>
        <v>0</v>
      </c>
      <c r="K234" s="49">
        <f>SUM(K235:K244)</f>
        <v>5914657.8199999994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1768942.1800000006</v>
      </c>
      <c r="Q234" s="7">
        <f t="shared" si="543"/>
        <v>23.022309594460939</v>
      </c>
      <c r="R234" s="49">
        <f>SUM(R235)</f>
        <v>0</v>
      </c>
      <c r="S234" s="49">
        <f>G234-K234-O234</f>
        <v>1768942.1800000006</v>
      </c>
    </row>
    <row r="235" spans="1:20" ht="48.7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2774793.5599999996</v>
      </c>
      <c r="I235" s="7">
        <f t="shared" ref="I235" si="548">H235*100/E235</f>
        <v>100.79162949509623</v>
      </c>
      <c r="J235" s="7">
        <v>0</v>
      </c>
      <c r="K235" s="7">
        <f>24983.44+61387+145353.3+22188+53380+61071.75+99952.32+251415+495350+245280+99900+94054.9+65143.2+97450+85495+69214.65+86050+87000+85800+97500+87500+99500+93100+96850+69875</f>
        <v>2774793.5599999996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-21793.55999999959</v>
      </c>
      <c r="Q235" s="7">
        <f t="shared" ref="Q235" si="552">P235*100/E235</f>
        <v>-0.7916294950962437</v>
      </c>
      <c r="R235" s="7">
        <f t="shared" ref="R235" si="553">F235-J235-N235</f>
        <v>0</v>
      </c>
      <c r="S235" s="7">
        <f t="shared" ref="S235" si="554">G235-K235-O235</f>
        <v>-21793.55999999959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1384204.29</v>
      </c>
      <c r="I236" s="7">
        <f t="shared" ref="I236" si="557">H236*100/E236</f>
        <v>95.726437759336093</v>
      </c>
      <c r="J236" s="7">
        <v>0</v>
      </c>
      <c r="K236" s="7">
        <f>84000+28000+77950+49122+95700.94+55335+85500+73110+82090+86710+84275+59150+43500+46962+98330.35+65143.2+85495+85500.45+98330.35</f>
        <v>1384204.29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61795.709999999963</v>
      </c>
      <c r="Q236" s="7">
        <f t="shared" ref="Q236:Q245" si="561">P236*100/E236</f>
        <v>4.2735622406638978</v>
      </c>
      <c r="R236" s="7">
        <f t="shared" ref="R236" si="562">F236-J236-N236</f>
        <v>0</v>
      </c>
      <c r="S236" s="7">
        <f t="shared" ref="S236" si="563">G236-K236-O236</f>
        <v>61795.709999999963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716574.99999999988</v>
      </c>
      <c r="I237" s="7">
        <f t="shared" ref="I237" si="566">H237*100/E237</f>
        <v>86.188958383449588</v>
      </c>
      <c r="J237" s="7">
        <v>0</v>
      </c>
      <c r="K237" s="7">
        <f>11483+69394+79000+5590+41143.3+89280+57230.2+6096+3040+42210+58101.6+48546.3+18320+49590+55481.6+7900+2250+25850+8566+4640+6546+11317+15000</f>
        <v>716574.99999999988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114825.00000000012</v>
      </c>
      <c r="Q237" s="7">
        <f t="shared" ref="Q237" si="570">P237*100/E237</f>
        <v>13.81104161655041</v>
      </c>
      <c r="R237" s="7">
        <f t="shared" ref="R237" si="571">F237-J237-N237</f>
        <v>0</v>
      </c>
      <c r="S237" s="7">
        <f t="shared" ref="S237" si="572">G237-K237-O237</f>
        <v>114825.00000000012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608730.47000000009</v>
      </c>
      <c r="I238" s="7">
        <f t="shared" ref="I238:I240" si="575">H238*100/E238</f>
        <v>65.279406970509385</v>
      </c>
      <c r="J238" s="7">
        <v>0</v>
      </c>
      <c r="K238" s="7">
        <f>26777.25+30989.9+8131+78270+96580+7726.92+14407+6640+65493+1860+35731.3+7229+83290+29887+12360+2800+6740+48546.3+2090+43181.8</f>
        <v>608730.47000000009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323769.52999999991</v>
      </c>
      <c r="Q238" s="7">
        <f t="shared" ref="Q238:Q240" si="579">P238*100/E238</f>
        <v>34.720593029490608</v>
      </c>
      <c r="R238" s="7">
        <f t="shared" ref="R238:R240" si="580">F238-J238-N238</f>
        <v>0</v>
      </c>
      <c r="S238" s="7">
        <f t="shared" ref="S238:S240" si="581">G238-K238-O238</f>
        <v>323769.52999999991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198929.50000000006</v>
      </c>
      <c r="I240" s="7">
        <f t="shared" si="575"/>
        <v>59.346509546539401</v>
      </c>
      <c r="J240" s="7">
        <v>0</v>
      </c>
      <c r="K240" s="7">
        <f>43184+8800+62500+6309+4807.2+3360+4400+8800+7256.35+2646+4400+4807.2+2320+6309+3360+4807.2+7256.35+4400+4807.2+4400</f>
        <v>198929.50000000006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136270.49999999994</v>
      </c>
      <c r="Q240" s="7">
        <f t="shared" si="579"/>
        <v>40.653490453460606</v>
      </c>
      <c r="R240" s="7">
        <f t="shared" si="580"/>
        <v>0</v>
      </c>
      <c r="S240" s="7">
        <f t="shared" si="581"/>
        <v>136270.49999999994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3022070.8</v>
      </c>
      <c r="I245" s="49">
        <f>H245*100/E245</f>
        <v>99.198122435581809</v>
      </c>
      <c r="J245" s="49">
        <f>SUM(J253:J261)</f>
        <v>0</v>
      </c>
      <c r="K245" s="49">
        <f>SUM(K246:K249)</f>
        <v>3022070.8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24429.200000000186</v>
      </c>
      <c r="Q245" s="7">
        <f t="shared" si="561"/>
        <v>0.80187756441819091</v>
      </c>
      <c r="R245" s="49">
        <f>F245-J245-N245</f>
        <v>0</v>
      </c>
      <c r="S245" s="49">
        <f>G245-K245-O245</f>
        <v>24429.200000000186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615401.69999999995</v>
      </c>
      <c r="I246" s="7">
        <f t="shared" ref="I246" si="602">H246*100/E246</f>
        <v>99.130428479381436</v>
      </c>
      <c r="J246" s="7">
        <v>0</v>
      </c>
      <c r="K246" s="7">
        <f>152699.8+58560+215158.9+84126+103800+1057</f>
        <v>615401.69999999995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5398.3000000000466</v>
      </c>
      <c r="Q246" s="7">
        <f t="shared" ref="Q246" si="606">P246*100/E246</f>
        <v>0.86957152061856424</v>
      </c>
      <c r="R246" s="7">
        <f t="shared" ref="R246" si="607">F246-J246-N246</f>
        <v>0</v>
      </c>
      <c r="S246" s="7">
        <f t="shared" ref="S246" si="608">G246-K246-O246</f>
        <v>5398.3000000000466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693799.4</v>
      </c>
      <c r="I248" s="7">
        <f t="shared" si="611"/>
        <v>99.999913519746329</v>
      </c>
      <c r="J248" s="7">
        <v>0</v>
      </c>
      <c r="K248" s="7">
        <f>151416+48072+105000+19078+174152.4+72108+115080+8893</f>
        <v>693799.4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0.59999999997671694</v>
      </c>
      <c r="Q248" s="7">
        <f t="shared" si="615"/>
        <v>8.6480253672054905E-5</v>
      </c>
      <c r="R248" s="7">
        <f t="shared" si="616"/>
        <v>0</v>
      </c>
      <c r="S248" s="7">
        <f t="shared" si="617"/>
        <v>0.59999999997671694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4.5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3099692.9599999995</v>
      </c>
      <c r="I250" s="49">
        <f>H250*100/E250</f>
        <v>80.120268817204291</v>
      </c>
      <c r="J250" s="49">
        <f>SUM(J251)</f>
        <v>0</v>
      </c>
      <c r="K250" s="49">
        <f>SUM(K251)</f>
        <v>3099692.9599999995</v>
      </c>
      <c r="L250" s="49">
        <f>N250+O250</f>
        <v>0</v>
      </c>
      <c r="M250" s="48"/>
      <c r="N250" s="49">
        <f>SUM(N285:N302)</f>
        <v>0</v>
      </c>
      <c r="O250" s="49">
        <f>SUM(O251)</f>
        <v>0</v>
      </c>
      <c r="P250" s="49">
        <f>R250+S250</f>
        <v>769107.0400000005</v>
      </c>
      <c r="Q250" s="7">
        <f t="shared" si="615"/>
        <v>19.879731182795709</v>
      </c>
      <c r="R250" s="49">
        <f>F250-J250-N250</f>
        <v>0</v>
      </c>
      <c r="S250" s="49">
        <f>G250-K250-O250</f>
        <v>769107.0400000005</v>
      </c>
    </row>
    <row r="251" spans="1:20" ht="47.25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3099692.9599999995</v>
      </c>
      <c r="I251" s="7">
        <f t="shared" ref="I251" si="620">H251*100/E251</f>
        <v>80.120268817204291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135870+15146+86065+73722.8+259600+8928+24200+10000+32923+15842.42+72764.6+10000+252750+10000+80970+72656.1+56400+176000+18700+65016.4+10000+296624+67308.15+38400+283414+63326.65+12700+180400+76170+56400+800+64252+9166.69+77973.15+78270+306934</f>
        <v>3099692.9599999995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769107.0400000005</v>
      </c>
      <c r="Q251" s="7">
        <f t="shared" ref="Q251:Q252" si="624">P251*100/E251</f>
        <v>19.879731182795709</v>
      </c>
      <c r="R251" s="7">
        <f t="shared" ref="R251" si="625">F251-J251-N251</f>
        <v>0</v>
      </c>
      <c r="S251" s="7">
        <f t="shared" ref="S251" si="626">G251-K251-O251</f>
        <v>769107.0400000005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SUM(J302:J306)</f>
        <v>0</v>
      </c>
      <c r="K252" s="49">
        <f>SUM(K253:K261)</f>
        <v>0</v>
      </c>
      <c r="L252" s="49">
        <f>N252+O252</f>
        <v>0</v>
      </c>
      <c r="M252" s="48"/>
      <c r="N252" s="49">
        <f>SUM(N302:N304)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639656.87</v>
      </c>
      <c r="I262" s="49">
        <f>H262*100/E262</f>
        <v>52.711732179645651</v>
      </c>
      <c r="J262" s="49">
        <f>SUM(J304:J316)</f>
        <v>0</v>
      </c>
      <c r="K262" s="49">
        <f>SUM(K263:K266)</f>
        <v>639656.87</v>
      </c>
      <c r="L262" s="49">
        <f>N262+O262</f>
        <v>0</v>
      </c>
      <c r="M262" s="48"/>
      <c r="N262" s="49">
        <f>SUM(N304:N314)</f>
        <v>0</v>
      </c>
      <c r="O262" s="49">
        <f>SUM(O263:O266)</f>
        <v>0</v>
      </c>
      <c r="P262" s="49">
        <f>R262+S262</f>
        <v>573843.13</v>
      </c>
      <c r="Q262" s="7">
        <f t="shared" si="642"/>
        <v>47.288267820354349</v>
      </c>
      <c r="R262" s="49">
        <f>F262-J262-N262</f>
        <v>0</v>
      </c>
      <c r="S262" s="49">
        <f>G262-K262-O262</f>
        <v>573843.13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112367.5</v>
      </c>
      <c r="I263" s="7">
        <f t="shared" ref="I263" si="647">H263*100/E263</f>
        <v>43.218269230769231</v>
      </c>
      <c r="J263" s="7">
        <v>0</v>
      </c>
      <c r="K263" s="7">
        <f>34785+17639+40004.5+19939</f>
        <v>112367.5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147632.5</v>
      </c>
      <c r="Q263" s="7">
        <f t="shared" ref="Q263" si="651">P263*100/E263</f>
        <v>56.781730769230769</v>
      </c>
      <c r="R263" s="7">
        <f t="shared" ref="R263" si="652">F263-J263-N263</f>
        <v>0</v>
      </c>
      <c r="S263" s="7">
        <f t="shared" ref="S263" si="653">G263-K263-O263</f>
        <v>147632.5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266007.37</v>
      </c>
      <c r="I264" s="7">
        <f t="shared" ref="I264:I265" si="656">H264*100/E264</f>
        <v>58.0168745910578</v>
      </c>
      <c r="J264" s="7">
        <v>0</v>
      </c>
      <c r="K264" s="7">
        <f>11562+2335.81+7760+69399+25013.5+2335.81+5500+9500.9+1280+7569+8590+5328+79819.85+30013.5</f>
        <v>266007.37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192492.63</v>
      </c>
      <c r="Q264" s="7">
        <f t="shared" ref="Q264:Q267" si="660">P264*100/E264</f>
        <v>41.9831254089422</v>
      </c>
      <c r="R264" s="7">
        <f t="shared" ref="R264:R265" si="661">F264-J264-N264</f>
        <v>0</v>
      </c>
      <c r="S264" s="7">
        <f t="shared" ref="S264:S265" si="662">G264-K264-O264</f>
        <v>192492.63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116230.95</v>
      </c>
      <c r="I265" s="7">
        <f t="shared" si="656"/>
        <v>64.572749999999999</v>
      </c>
      <c r="J265" s="7">
        <v>0</v>
      </c>
      <c r="K265" s="7">
        <f>12618+12618+13880.8+9764.5+7946+12618+10074+9280+4749.95+3391+14512.7+4778</f>
        <v>116230.95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63769.05</v>
      </c>
      <c r="Q265" s="7">
        <f t="shared" si="660"/>
        <v>35.427250000000001</v>
      </c>
      <c r="R265" s="7">
        <f t="shared" si="661"/>
        <v>0</v>
      </c>
      <c r="S265" s="7">
        <f t="shared" si="662"/>
        <v>63769.05</v>
      </c>
    </row>
    <row r="266" spans="1:20" ht="31.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145051.04999999999</v>
      </c>
      <c r="I266" s="7">
        <f t="shared" ref="I266" si="665">H266*100/E266</f>
        <v>46.047952380952374</v>
      </c>
      <c r="J266" s="7">
        <v>0</v>
      </c>
      <c r="K266" s="7">
        <f>73308.05+11968+59775</f>
        <v>145051.04999999999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169948.95</v>
      </c>
      <c r="Q266" s="7">
        <f t="shared" ref="Q266" si="669">P266*100/E266</f>
        <v>53.952047619047619</v>
      </c>
      <c r="R266" s="7">
        <f t="shared" ref="R266" si="670">F266-J266-N266</f>
        <v>0</v>
      </c>
      <c r="S266" s="7">
        <f t="shared" ref="S266" si="671">G266-K266-O266</f>
        <v>169948.95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193718.3</v>
      </c>
      <c r="I267" s="49">
        <f>H267*100/E267</f>
        <v>33.807731239092497</v>
      </c>
      <c r="J267" s="49">
        <f>SUM(J308:J320)</f>
        <v>0</v>
      </c>
      <c r="K267" s="49">
        <f>SUM(K268:K270)</f>
        <v>193718.3</v>
      </c>
      <c r="L267" s="49">
        <f>SUM(L268:L269)</f>
        <v>0</v>
      </c>
      <c r="M267" s="48"/>
      <c r="N267" s="49">
        <f>SUM(N308:N318)</f>
        <v>0</v>
      </c>
      <c r="O267" s="49">
        <f>SUM(O268:O270)</f>
        <v>0</v>
      </c>
      <c r="P267" s="49">
        <f>R267+S267</f>
        <v>379281.7</v>
      </c>
      <c r="Q267" s="7">
        <f t="shared" si="660"/>
        <v>66.19226876090751</v>
      </c>
      <c r="R267" s="49">
        <f>F267-J267-N267</f>
        <v>0</v>
      </c>
      <c r="S267" s="49">
        <f>G267-K267-O267</f>
        <v>379281.7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80750</v>
      </c>
      <c r="I268" s="7">
        <f t="shared" ref="I268" si="674">H268*100/E268</f>
        <v>31.791338582677167</v>
      </c>
      <c r="J268" s="7">
        <v>0</v>
      </c>
      <c r="K268" s="7">
        <f>80750</f>
        <v>80750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173250</v>
      </c>
      <c r="Q268" s="7">
        <f t="shared" ref="Q268" si="678">P268*100/E268</f>
        <v>68.20866141732283</v>
      </c>
      <c r="R268" s="7">
        <f t="shared" ref="R268" si="679">F268-J268-N268</f>
        <v>0</v>
      </c>
      <c r="S268" s="7">
        <f t="shared" ref="S268" si="680">G268-K268-O268</f>
        <v>173250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SUM(J311:J323)</f>
        <v>0</v>
      </c>
      <c r="K271" s="49">
        <f>SUM(K272:K272)</f>
        <v>19360</v>
      </c>
      <c r="L271" s="49">
        <f>SUM(L272:L272)</f>
        <v>0</v>
      </c>
      <c r="M271" s="48"/>
      <c r="N271" s="49">
        <f>SUM(N311:N321)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150772.28</v>
      </c>
      <c r="I273" s="49">
        <f>H273*100/E273</f>
        <v>27.12219463932362</v>
      </c>
      <c r="J273" s="49">
        <f>SUM(J313:J325)</f>
        <v>0</v>
      </c>
      <c r="K273" s="49">
        <f>SUM(K274:K274)</f>
        <v>150772.28</v>
      </c>
      <c r="L273" s="49">
        <f>SUM(L274:L274)</f>
        <v>0</v>
      </c>
      <c r="M273" s="48"/>
      <c r="N273" s="49">
        <f>SUM(N313:N323)</f>
        <v>0</v>
      </c>
      <c r="O273" s="49">
        <f>SUM(O274:O274)</f>
        <v>0</v>
      </c>
      <c r="P273" s="49">
        <f>R273+S273</f>
        <v>405127.72</v>
      </c>
      <c r="Q273" s="7">
        <f t="shared" ref="Q273:Q274" si="707">P273*100/E273</f>
        <v>72.877805360676376</v>
      </c>
      <c r="R273" s="49">
        <f>F273-J273-N273</f>
        <v>0</v>
      </c>
      <c r="S273" s="49">
        <f>G273-K273-O273</f>
        <v>405127.72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150772.28</v>
      </c>
      <c r="I274" s="7">
        <f t="shared" ref="I274" si="709">H274*100/E274</f>
        <v>27.12219463932362</v>
      </c>
      <c r="J274" s="7">
        <v>0</v>
      </c>
      <c r="K274" s="7">
        <f>18306.99+15516.09+12060+7620+10158+2235+42906.2+41970</f>
        <v>150772.28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405127.72</v>
      </c>
      <c r="Q274" s="7">
        <f t="shared" si="707"/>
        <v>72.877805360676376</v>
      </c>
      <c r="R274" s="7">
        <f t="shared" ref="R274" si="713">F274-J274-N274</f>
        <v>0</v>
      </c>
      <c r="S274" s="7">
        <f t="shared" ref="S274" si="714">G274-K274-O274</f>
        <v>405127.72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16260199.75</v>
      </c>
      <c r="I275" s="52">
        <f>H275*100/E275</f>
        <v>19.97823523333518</v>
      </c>
      <c r="J275" s="57">
        <f>J276+J279+J282+J284+J287</f>
        <v>1306200</v>
      </c>
      <c r="K275" s="57">
        <f>K276+K279+K282+K284+K287</f>
        <v>14953999.75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65129370.25</v>
      </c>
      <c r="Q275" s="56">
        <f>P275*100/E275</f>
        <v>80.021764766664816</v>
      </c>
      <c r="R275" s="57">
        <f>F275-J275-N275</f>
        <v>60539700</v>
      </c>
      <c r="S275" s="57">
        <f>G275-K275-O275</f>
        <v>4589670.25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13325749.619999999</v>
      </c>
      <c r="I276" s="49">
        <f>H276*100/E276</f>
        <v>85.767842054450668</v>
      </c>
      <c r="J276" s="49">
        <f>SUM(J277:J278)</f>
        <v>0</v>
      </c>
      <c r="K276" s="49">
        <f>SUM(K277:K278)</f>
        <v>13325749.619999999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2211250.3800000008</v>
      </c>
      <c r="Q276" s="49">
        <f t="shared" ref="Q276:Q277" si="716">P276*100/E276</f>
        <v>14.232157945549339</v>
      </c>
      <c r="R276" s="49">
        <f>SUM(R277:R278)</f>
        <v>0</v>
      </c>
      <c r="S276" s="49">
        <f>G276-K276-O276</f>
        <v>2211250.3800000008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13228676.02</v>
      </c>
      <c r="I277" s="7">
        <f t="shared" ref="I277" si="718">H277*100/E277</f>
        <v>88.191173466666669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+98902-11866+7511000</f>
        <v>13228676.02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1771323.9800000004</v>
      </c>
      <c r="Q277" s="7">
        <f t="shared" si="716"/>
        <v>11.808826533333336</v>
      </c>
      <c r="R277" s="7">
        <f t="shared" ref="R277" si="722">F277-J277-N277</f>
        <v>0</v>
      </c>
      <c r="S277" s="7">
        <f t="shared" ref="S277" si="723">G277-K277-O277</f>
        <v>1771323.9800000004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97073.599999999991</v>
      </c>
      <c r="I278" s="7">
        <f t="shared" ref="I278" si="726">H278*100/E278</f>
        <v>18.077020484171321</v>
      </c>
      <c r="J278" s="7">
        <v>0</v>
      </c>
      <c r="K278" s="7">
        <f>20624+7256.35+5004.5+6309+4550+5004.5+21769.05+6940.9+19615.3</f>
        <v>97073.599999999991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439926.4</v>
      </c>
      <c r="Q278" s="7">
        <f t="shared" ref="Q278:Q282" si="730">P278*100/E278</f>
        <v>81.922979515828672</v>
      </c>
      <c r="R278" s="7">
        <f t="shared" ref="R278" si="731">F278-J278-N278</f>
        <v>0</v>
      </c>
      <c r="S278" s="7">
        <f t="shared" ref="S278" si="732">G278-K278-O278</f>
        <v>439926.4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1.2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0</v>
      </c>
      <c r="I282" s="49">
        <f>H282*100/E282</f>
        <v>0</v>
      </c>
      <c r="J282" s="49">
        <f>SUM(J283)</f>
        <v>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38.2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1456754.1300000001</v>
      </c>
      <c r="I284" s="49">
        <f>H284*100/E284</f>
        <v>11.079157705002814</v>
      </c>
      <c r="J284" s="49">
        <f>SUM(J285:J286)</f>
        <v>0</v>
      </c>
      <c r="K284" s="49">
        <f>SUM(K285:K286)</f>
        <v>1456754.1300000001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11691845.869999999</v>
      </c>
      <c r="Q284" s="49">
        <f t="shared" si="746"/>
        <v>88.920842294997186</v>
      </c>
      <c r="R284" s="49">
        <f>SUM(R285:R286)</f>
        <v>10640000</v>
      </c>
      <c r="S284" s="49">
        <f>G284-K284-O284</f>
        <v>1051845.8699999999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873256.4</v>
      </c>
      <c r="I285" s="7">
        <f t="shared" ref="I285" si="759">H285*100/E285</f>
        <v>7.4259022415728424</v>
      </c>
      <c r="J285" s="7">
        <v>0</v>
      </c>
      <c r="K285" s="7">
        <f>5920+3000+2320+7440+3822+99950+7200+161387.5+3860+34960+34068.6+41300+4297+3273+56781+32000+1280+30370+65307.15+42332.4+48263.85+42344.55+14078+6630.9+62468.1+6455.9+41436.45+6960+3750</f>
        <v>873256.4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10886343.6</v>
      </c>
      <c r="Q285" s="7">
        <f t="shared" si="746"/>
        <v>92.574097758427158</v>
      </c>
      <c r="R285" s="7">
        <f t="shared" ref="R285" si="763">F285-J285-N285</f>
        <v>10640000</v>
      </c>
      <c r="S285" s="7">
        <f t="shared" ref="S285" si="764">G285-K285-O285</f>
        <v>246343.59999999998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583497.7300000001</v>
      </c>
      <c r="I286" s="7">
        <f t="shared" ref="I286" si="767">H286*100/E286</f>
        <v>42.008475881929449</v>
      </c>
      <c r="J286" s="7">
        <v>0</v>
      </c>
      <c r="K286" s="7">
        <f>98855.55+3674.83+6309+99171+13440+24376+12642+121313.45+45520+12618+41742+14512.7+29025.4+47309.8+12988</f>
        <v>583497.7300000001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805502.2699999999</v>
      </c>
      <c r="Q286" s="7">
        <f t="shared" ref="Q286:Q287" si="771">P286*100/E286</f>
        <v>57.991524118070544</v>
      </c>
      <c r="R286" s="7">
        <f t="shared" ref="R286" si="772">F286-J286-N286</f>
        <v>0</v>
      </c>
      <c r="S286" s="7">
        <f t="shared" ref="S286" si="773">G286-K286-O286</f>
        <v>805502.2699999999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1477696</v>
      </c>
      <c r="I287" s="49">
        <f>H287*100/E287</f>
        <v>7.8919172385211196</v>
      </c>
      <c r="J287" s="49">
        <f>SUM(J288:J289)</f>
        <v>1306200</v>
      </c>
      <c r="K287" s="49">
        <f>SUM(K288:K289)</f>
        <v>171496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17246474</v>
      </c>
      <c r="Q287" s="49">
        <f t="shared" si="771"/>
        <v>92.108082761478883</v>
      </c>
      <c r="R287" s="49">
        <f>F287-J287-N287</f>
        <v>16872600</v>
      </c>
      <c r="S287" s="49">
        <f>G287-K287-O287</f>
        <v>373874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1375760</v>
      </c>
      <c r="I288" s="7">
        <f t="shared" ref="I288" si="776">H288*100/E288</f>
        <v>12.720850670365234</v>
      </c>
      <c r="J288" s="7">
        <f>1306200</f>
        <v>1306200</v>
      </c>
      <c r="K288" s="7">
        <f>8320+1280+9280+3840+5820+9280+4640+10560+16540</f>
        <v>69560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9439240</v>
      </c>
      <c r="Q288" s="7">
        <f t="shared" ref="Q288" si="780">P288*100/E288</f>
        <v>87.279149329634762</v>
      </c>
      <c r="R288" s="7">
        <f t="shared" ref="R288" si="781">F288-J288-N288</f>
        <v>9193800</v>
      </c>
      <c r="S288" s="7">
        <f t="shared" ref="S288" si="782">G288-K288-O288</f>
        <v>245440</v>
      </c>
    </row>
    <row r="289" spans="1:20" ht="50.2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101936</v>
      </c>
      <c r="I289" s="7">
        <f t="shared" ref="I289" si="785">H289*100/E289</f>
        <v>1.2888330886806074</v>
      </c>
      <c r="J289" s="7">
        <v>0</v>
      </c>
      <c r="K289" s="7">
        <f>4978+6382+27140+1760+49810+11866</f>
        <v>101936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7807234</v>
      </c>
      <c r="Q289" s="7">
        <f t="shared" ref="Q289" si="789">P289*100/E289</f>
        <v>98.711166911319395</v>
      </c>
      <c r="R289" s="7">
        <f t="shared" ref="R289" si="790">F289-J289-N289</f>
        <v>7678800</v>
      </c>
      <c r="S289" s="7">
        <f t="shared" ref="S289" si="791">G289-K289-O289</f>
        <v>128434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F291+F304+F309+F312</f>
        <v>0</v>
      </c>
      <c r="G290" s="56">
        <f>SUM(G291:G292)</f>
        <v>2242700</v>
      </c>
      <c r="H290" s="57">
        <f>J290+K290</f>
        <v>914927.8</v>
      </c>
      <c r="I290" s="55">
        <f>H290*100/E290</f>
        <v>40.795817541356399</v>
      </c>
      <c r="J290" s="57">
        <f>J291</f>
        <v>0</v>
      </c>
      <c r="K290" s="57">
        <f>SUM(K291:K292)</f>
        <v>914927.8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1327772.2</v>
      </c>
      <c r="Q290" s="56">
        <f>P290*100/E290</f>
        <v>59.204182458643601</v>
      </c>
      <c r="R290" s="57">
        <f>F290-J290-N290</f>
        <v>0</v>
      </c>
      <c r="S290" s="57">
        <f>G290-K290-O290</f>
        <v>1327772.2</v>
      </c>
      <c r="T290" s="26">
        <f>I290+Q290</f>
        <v>100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754958.1</v>
      </c>
      <c r="I291" s="7">
        <f t="shared" ref="I291" si="794">H291*100/E291</f>
        <v>39.678251957744259</v>
      </c>
      <c r="J291" s="7">
        <v>0</v>
      </c>
      <c r="K291" s="7">
        <f>4450+20632+333792.1+216324+179760</f>
        <v>754958.1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1147741.8999999999</v>
      </c>
      <c r="Q291" s="7">
        <f t="shared" ref="Q291" si="798">P291*100/E291</f>
        <v>60.321748042255734</v>
      </c>
      <c r="R291" s="7">
        <f t="shared" ref="R291" si="799">F291-J291-N291</f>
        <v>0</v>
      </c>
      <c r="S291" s="7">
        <f t="shared" ref="S291" si="800">G291-K291-O291</f>
        <v>1147741.8999999999</v>
      </c>
    </row>
    <row r="292" spans="1:20" ht="48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:E293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:H296" si="802">J292+K292</f>
        <v>159969.70000000001</v>
      </c>
      <c r="I292" s="7">
        <f t="shared" ref="I292" si="803">H292*100/E292</f>
        <v>47.04991176470589</v>
      </c>
      <c r="J292" s="7">
        <v>0</v>
      </c>
      <c r="K292" s="7">
        <f>16814.7+4410+5535+16870+116340</f>
        <v>159969.70000000001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180030.3</v>
      </c>
      <c r="Q292" s="7">
        <f t="shared" ref="Q292" si="807">P292*100/E292</f>
        <v>52.950088235294118</v>
      </c>
      <c r="R292" s="7">
        <f t="shared" ref="R292" si="808">F292-J292-N292</f>
        <v>0</v>
      </c>
      <c r="S292" s="7">
        <f t="shared" ref="S292" si="809">G292-K292-O292</f>
        <v>180030.3</v>
      </c>
    </row>
    <row r="293" spans="1:20" ht="35.25" customHeight="1" x14ac:dyDescent="0.5">
      <c r="A293" s="15"/>
      <c r="B293" s="78" t="s">
        <v>106</v>
      </c>
      <c r="C293" s="79"/>
      <c r="D293" s="79"/>
      <c r="E293" s="80">
        <f t="shared" si="801"/>
        <v>36217500</v>
      </c>
      <c r="F293" s="81">
        <f>SUM(F294:F296)</f>
        <v>0</v>
      </c>
      <c r="G293" s="80">
        <f>SUM(G294:G300)</f>
        <v>36217500</v>
      </c>
      <c r="H293" s="81">
        <f>J293+K293</f>
        <v>0</v>
      </c>
      <c r="I293" s="78">
        <f>H293*100/E293</f>
        <v>0</v>
      </c>
      <c r="J293" s="81">
        <f>SUM(J294:J300)</f>
        <v>0</v>
      </c>
      <c r="K293" s="81">
        <f>SUM(K294:K300)</f>
        <v>0</v>
      </c>
      <c r="L293" s="81">
        <f>N293+O293</f>
        <v>0</v>
      </c>
      <c r="M293" s="78">
        <f>L293*100/E293</f>
        <v>0</v>
      </c>
      <c r="N293" s="81">
        <f>SUM(N294:N300)</f>
        <v>0</v>
      </c>
      <c r="O293" s="81">
        <f>SUM(O294:O300)</f>
        <v>0</v>
      </c>
      <c r="P293" s="81">
        <f>R293+S293</f>
        <v>36217500</v>
      </c>
      <c r="Q293" s="80">
        <f>P293*100/E293</f>
        <v>100</v>
      </c>
      <c r="R293" s="81">
        <f>F293-J293-N293</f>
        <v>0</v>
      </c>
      <c r="S293" s="81">
        <f>G293-K293-O293</f>
        <v>36217500</v>
      </c>
    </row>
    <row r="294" spans="1:20" ht="33.75" customHeight="1" x14ac:dyDescent="0.5">
      <c r="A294" s="15">
        <v>254</v>
      </c>
      <c r="B294" s="53" t="str">
        <f>[42]รายการสรุป!$E$5</f>
        <v>โครงการอ่างเก็บน้ำห้วยต้อง อ.แม่พริก จ.ลำปาง</v>
      </c>
      <c r="C294" s="24" t="str">
        <f>[42]รายการสรุป!$I$5</f>
        <v>909090101463</v>
      </c>
      <c r="D294" s="6" t="s">
        <v>107</v>
      </c>
      <c r="E294" s="7">
        <f t="shared" ref="E294" si="810">F294+G294</f>
        <v>879700</v>
      </c>
      <c r="F294" s="7">
        <v>0</v>
      </c>
      <c r="G294" s="8">
        <f>[42]รายการสรุป!$J$5</f>
        <v>879700</v>
      </c>
      <c r="H294" s="7">
        <f t="shared" si="802"/>
        <v>0</v>
      </c>
      <c r="I294" s="7">
        <f t="shared" ref="I294" si="811">H294*100/E294</f>
        <v>0</v>
      </c>
      <c r="J294" s="7">
        <v>0</v>
      </c>
      <c r="K294" s="7">
        <v>0</v>
      </c>
      <c r="L294" s="7">
        <f t="shared" ref="L294" si="812">N294+O294</f>
        <v>0</v>
      </c>
      <c r="M294" s="7">
        <f t="shared" ref="M294" si="813">L294*100/E294</f>
        <v>0</v>
      </c>
      <c r="N294" s="7">
        <v>0</v>
      </c>
      <c r="O294" s="7">
        <v>0</v>
      </c>
      <c r="P294" s="7">
        <f t="shared" ref="P294" si="814">R294+S294</f>
        <v>879700</v>
      </c>
      <c r="Q294" s="7">
        <f t="shared" ref="Q294" si="815">P294*100/E294</f>
        <v>100</v>
      </c>
      <c r="R294" s="7">
        <f t="shared" ref="R294" si="816">F294-J294-N294</f>
        <v>0</v>
      </c>
      <c r="S294" s="7">
        <f t="shared" ref="S294" si="817">G294-K294-O294</f>
        <v>879700</v>
      </c>
    </row>
    <row r="295" spans="1:20" ht="33.75" customHeight="1" x14ac:dyDescent="0.5">
      <c r="A295" s="15">
        <v>255</v>
      </c>
      <c r="B295" s="53" t="str">
        <f>[42]รายการสรุป!$E$6</f>
        <v>โครงการอ่างเก็บน้ำกห้วยน้ำม้า อ.เชียงของ จ.เชียงราย</v>
      </c>
      <c r="C295" s="24" t="str">
        <f>[42]รายการสรุป!$I$6</f>
        <v>909090101462</v>
      </c>
      <c r="D295" s="6" t="s">
        <v>107</v>
      </c>
      <c r="E295" s="7">
        <f t="shared" ref="E295:E300" si="818">F295+G295</f>
        <v>944300</v>
      </c>
      <c r="F295" s="7">
        <v>0</v>
      </c>
      <c r="G295" s="8">
        <f>[42]รายการสรุป!$J$6</f>
        <v>944300</v>
      </c>
      <c r="H295" s="7">
        <f t="shared" si="802"/>
        <v>0</v>
      </c>
      <c r="I295" s="7">
        <f t="shared" ref="I295:I296" si="819">H295*100/E295</f>
        <v>0</v>
      </c>
      <c r="J295" s="7">
        <v>0</v>
      </c>
      <c r="K295" s="7">
        <v>0</v>
      </c>
      <c r="L295" s="7">
        <f t="shared" ref="L295:L296" si="820">N295+O295</f>
        <v>0</v>
      </c>
      <c r="M295" s="7">
        <f t="shared" ref="M295:M297" si="821">L295*100/E295</f>
        <v>0</v>
      </c>
      <c r="N295" s="7">
        <v>0</v>
      </c>
      <c r="O295" s="7">
        <v>0</v>
      </c>
      <c r="P295" s="7">
        <f t="shared" ref="P295:P296" si="822">R295+S295</f>
        <v>944300</v>
      </c>
      <c r="Q295" s="7">
        <f t="shared" ref="Q295:Q296" si="823">P295*100/E295</f>
        <v>100</v>
      </c>
      <c r="R295" s="7">
        <f t="shared" ref="R295:R296" si="824">F295-J295-N295</f>
        <v>0</v>
      </c>
      <c r="S295" s="7">
        <f t="shared" ref="S295:S296" si="825">G295-K295-O295</f>
        <v>944300</v>
      </c>
    </row>
    <row r="296" spans="1:20" ht="33.75" customHeight="1" x14ac:dyDescent="0.5">
      <c r="A296" s="15">
        <v>256</v>
      </c>
      <c r="B296" s="53" t="str">
        <f>[42]รายการสรุป!$E$7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6" s="24" t="str">
        <f>[42]รายการสรุป!$I$7</f>
        <v>909090101465</v>
      </c>
      <c r="D296" s="6" t="s">
        <v>107</v>
      </c>
      <c r="E296" s="7">
        <f t="shared" si="818"/>
        <v>207000</v>
      </c>
      <c r="F296" s="7">
        <v>0</v>
      </c>
      <c r="G296" s="8">
        <f>[42]รายการสรุป!$J$7</f>
        <v>207000</v>
      </c>
      <c r="H296" s="7">
        <f t="shared" si="802"/>
        <v>0</v>
      </c>
      <c r="I296" s="7">
        <f t="shared" si="819"/>
        <v>0</v>
      </c>
      <c r="J296" s="7">
        <v>0</v>
      </c>
      <c r="K296" s="7">
        <v>0</v>
      </c>
      <c r="L296" s="7">
        <f t="shared" si="820"/>
        <v>0</v>
      </c>
      <c r="M296" s="7">
        <f t="shared" si="821"/>
        <v>0</v>
      </c>
      <c r="N296" s="7">
        <v>0</v>
      </c>
      <c r="O296" s="7">
        <v>0</v>
      </c>
      <c r="P296" s="7">
        <f t="shared" si="822"/>
        <v>207000</v>
      </c>
      <c r="Q296" s="7">
        <f t="shared" si="823"/>
        <v>100</v>
      </c>
      <c r="R296" s="7">
        <f t="shared" si="824"/>
        <v>0</v>
      </c>
      <c r="S296" s="7">
        <f t="shared" si="825"/>
        <v>207000</v>
      </c>
    </row>
    <row r="297" spans="1:20" ht="33.75" customHeight="1" x14ac:dyDescent="0.5">
      <c r="A297" s="15">
        <v>257</v>
      </c>
      <c r="B297" s="53" t="str">
        <f>[42]รายการสรุป!$E$8</f>
        <v>โครงการอ่างเก็บน้ำห้วยครึ่ง อ.เชียงของ จ.เชียงราย</v>
      </c>
      <c r="C297" s="24" t="str">
        <f>[42]รายการสรุป!$I$8</f>
        <v>909090101477</v>
      </c>
      <c r="D297" s="6" t="s">
        <v>113</v>
      </c>
      <c r="E297" s="7">
        <f t="shared" si="818"/>
        <v>699000</v>
      </c>
      <c r="F297" s="7">
        <v>0</v>
      </c>
      <c r="G297" s="8">
        <f>[42]รายการสรุป!$J$8</f>
        <v>699000</v>
      </c>
      <c r="H297" s="7">
        <f t="shared" ref="H297" si="826">J297+K297</f>
        <v>0</v>
      </c>
      <c r="I297" s="7">
        <f t="shared" ref="I297" si="827">H297*100/E297</f>
        <v>0</v>
      </c>
      <c r="J297" s="7">
        <v>0</v>
      </c>
      <c r="K297" s="7">
        <v>0</v>
      </c>
      <c r="L297" s="7">
        <f t="shared" ref="L297" si="828">N297+O297</f>
        <v>0</v>
      </c>
      <c r="M297" s="7">
        <f t="shared" si="821"/>
        <v>0</v>
      </c>
      <c r="N297" s="7">
        <v>0</v>
      </c>
      <c r="O297" s="7">
        <v>0</v>
      </c>
      <c r="P297" s="7">
        <f t="shared" ref="P297" si="829">R297+S297</f>
        <v>699000</v>
      </c>
      <c r="Q297" s="7">
        <f t="shared" ref="Q297" si="830">P297*100/E297</f>
        <v>100</v>
      </c>
      <c r="R297" s="7">
        <f t="shared" ref="R297" si="831">F297-J297-N297</f>
        <v>0</v>
      </c>
      <c r="S297" s="7">
        <f t="shared" ref="S297" si="832">G297-K297-O297</f>
        <v>699000</v>
      </c>
    </row>
    <row r="298" spans="1:20" ht="33.75" customHeight="1" x14ac:dyDescent="0.5">
      <c r="A298" s="15">
        <v>258</v>
      </c>
      <c r="B298" s="53" t="str">
        <f>[42]รายการสรุป!$E$9</f>
        <v>โครงการฝายทุ่งกว๋าวพร้อมระบบส่งน้ำ อ.เมืองปาน จ.ลำปาง (โครงการพิเศษ)</v>
      </c>
      <c r="C298" s="24" t="str">
        <f>[42]รายการสรุป!$I$9</f>
        <v>909090101474</v>
      </c>
      <c r="D298" s="6" t="s">
        <v>113</v>
      </c>
      <c r="E298" s="7">
        <f t="shared" si="818"/>
        <v>32002000</v>
      </c>
      <c r="F298" s="7">
        <v>0</v>
      </c>
      <c r="G298" s="8">
        <f>[42]รายการสรุป!$J$9</f>
        <v>32002000</v>
      </c>
      <c r="H298" s="7">
        <f t="shared" ref="H298:H300" si="833">J298+K298</f>
        <v>0</v>
      </c>
      <c r="I298" s="7">
        <f t="shared" ref="I298:I300" si="834">H298*100/E298</f>
        <v>0</v>
      </c>
      <c r="J298" s="7">
        <v>0</v>
      </c>
      <c r="K298" s="7">
        <v>0</v>
      </c>
      <c r="L298" s="7">
        <f t="shared" ref="L298:L300" si="835">N298+O298</f>
        <v>0</v>
      </c>
      <c r="M298" s="7">
        <f t="shared" ref="M298:M300" si="836">L298*100/E298</f>
        <v>0</v>
      </c>
      <c r="N298" s="7">
        <v>0</v>
      </c>
      <c r="O298" s="7">
        <v>0</v>
      </c>
      <c r="P298" s="7">
        <f t="shared" ref="P298:P300" si="837">R298+S298</f>
        <v>32002000</v>
      </c>
      <c r="Q298" s="7">
        <f t="shared" ref="Q298:Q300" si="838">P298*100/E298</f>
        <v>100</v>
      </c>
      <c r="R298" s="7">
        <f t="shared" ref="R298:R300" si="839">F298-J298-N298</f>
        <v>0</v>
      </c>
      <c r="S298" s="7">
        <f t="shared" ref="S298:S300" si="840">G298-K298-O298</f>
        <v>32002000</v>
      </c>
    </row>
    <row r="299" spans="1:20" ht="33.75" customHeight="1" x14ac:dyDescent="0.5">
      <c r="A299" s="15">
        <v>259</v>
      </c>
      <c r="B299" s="53" t="str">
        <f>[42]รายการสรุป!$E$10</f>
        <v>โครงการฝายทุ่งกว๋าวพร้อมระบบส่งน้ำ อ.เมืองปาน จ.ลำปาง (สชป.2)</v>
      </c>
      <c r="C299" s="24" t="str">
        <f>[42]รายการสรุป!$I$10</f>
        <v>909090101474</v>
      </c>
      <c r="D299" s="6" t="s">
        <v>113</v>
      </c>
      <c r="E299" s="7">
        <f t="shared" si="818"/>
        <v>798000</v>
      </c>
      <c r="F299" s="7">
        <v>0</v>
      </c>
      <c r="G299" s="8">
        <f>[42]รายการสรุป!$J$10</f>
        <v>798000</v>
      </c>
      <c r="H299" s="7">
        <f t="shared" si="833"/>
        <v>0</v>
      </c>
      <c r="I299" s="7">
        <f t="shared" si="834"/>
        <v>0</v>
      </c>
      <c r="J299" s="7">
        <v>0</v>
      </c>
      <c r="K299" s="7">
        <v>0</v>
      </c>
      <c r="L299" s="7">
        <f t="shared" si="835"/>
        <v>0</v>
      </c>
      <c r="M299" s="7">
        <f t="shared" si="836"/>
        <v>0</v>
      </c>
      <c r="N299" s="7">
        <v>0</v>
      </c>
      <c r="O299" s="7">
        <v>0</v>
      </c>
      <c r="P299" s="7">
        <f t="shared" si="837"/>
        <v>798000</v>
      </c>
      <c r="Q299" s="7">
        <f t="shared" si="838"/>
        <v>100</v>
      </c>
      <c r="R299" s="7">
        <f t="shared" si="839"/>
        <v>0</v>
      </c>
      <c r="S299" s="7">
        <f t="shared" si="840"/>
        <v>798000</v>
      </c>
    </row>
    <row r="300" spans="1:20" ht="33" customHeight="1" x14ac:dyDescent="0.5">
      <c r="A300" s="15">
        <v>260</v>
      </c>
      <c r="B300" s="53" t="str">
        <f>[42]รายการสรุป!$E$11</f>
        <v>โครงการอ่างเก็บน้ำห้วยหม้ออุ่งอันเนื่องมาจากพระราชดำริ อ.พาน จ.เชียงราย</v>
      </c>
      <c r="C300" s="24" t="str">
        <f>[42]รายการสรุป!$I$11</f>
        <v>909090101476</v>
      </c>
      <c r="D300" s="6" t="s">
        <v>113</v>
      </c>
      <c r="E300" s="7">
        <f t="shared" si="818"/>
        <v>687500</v>
      </c>
      <c r="F300" s="7">
        <v>0</v>
      </c>
      <c r="G300" s="8">
        <f>[42]รายการสรุป!$J$11</f>
        <v>687500</v>
      </c>
      <c r="H300" s="7">
        <f t="shared" si="833"/>
        <v>0</v>
      </c>
      <c r="I300" s="7">
        <f t="shared" si="834"/>
        <v>0</v>
      </c>
      <c r="J300" s="7">
        <v>0</v>
      </c>
      <c r="K300" s="7">
        <v>0</v>
      </c>
      <c r="L300" s="7">
        <f t="shared" si="835"/>
        <v>0</v>
      </c>
      <c r="M300" s="7">
        <f t="shared" si="836"/>
        <v>0</v>
      </c>
      <c r="N300" s="7">
        <v>0</v>
      </c>
      <c r="O300" s="7">
        <v>0</v>
      </c>
      <c r="P300" s="7">
        <f t="shared" si="837"/>
        <v>687500</v>
      </c>
      <c r="Q300" s="7">
        <f t="shared" si="838"/>
        <v>100</v>
      </c>
      <c r="R300" s="7">
        <f t="shared" si="839"/>
        <v>0</v>
      </c>
      <c r="S300" s="7">
        <f t="shared" si="840"/>
        <v>687500</v>
      </c>
    </row>
    <row r="301" spans="1:20" ht="33.75" customHeight="1" x14ac:dyDescent="0.5">
      <c r="A301" s="15"/>
      <c r="B301" s="53"/>
      <c r="C301" s="24"/>
      <c r="D301" s="6"/>
      <c r="E301" s="7"/>
      <c r="F301" s="7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20" ht="27.75" customHeight="1" x14ac:dyDescent="0.5">
      <c r="A302" s="20"/>
      <c r="B302" s="65"/>
      <c r="C302" s="65"/>
      <c r="D302" s="66"/>
      <c r="E302" s="20"/>
      <c r="F302" s="65"/>
      <c r="G302" s="65"/>
      <c r="H302" s="10"/>
      <c r="I302" s="20"/>
      <c r="J302" s="65"/>
      <c r="K302" s="65"/>
      <c r="L302" s="10"/>
      <c r="M302" s="20"/>
      <c r="N302" s="65"/>
      <c r="O302" s="65"/>
      <c r="P302" s="10"/>
      <c r="Q302" s="20"/>
      <c r="R302" s="65"/>
      <c r="S302" s="65"/>
    </row>
    <row r="304" spans="1:20" x14ac:dyDescent="0.5">
      <c r="Q304" s="82" t="s">
        <v>11</v>
      </c>
      <c r="R304" s="82"/>
      <c r="S304" s="82"/>
    </row>
    <row r="305" spans="17:19" x14ac:dyDescent="0.5">
      <c r="Q305" s="82" t="s">
        <v>12</v>
      </c>
      <c r="R305" s="82"/>
      <c r="S305" s="82"/>
    </row>
    <row r="306" spans="17:19" x14ac:dyDescent="0.5">
      <c r="Q306" s="82" t="s">
        <v>13</v>
      </c>
      <c r="R306" s="82"/>
      <c r="S306" s="82"/>
    </row>
    <row r="307" spans="17:19" x14ac:dyDescent="0.5">
      <c r="Q307" s="82" t="s">
        <v>14</v>
      </c>
      <c r="R307" s="82"/>
      <c r="S307" s="82"/>
    </row>
  </sheetData>
  <mergeCells count="11">
    <mergeCell ref="Q304:S304"/>
    <mergeCell ref="Q305:S305"/>
    <mergeCell ref="Q306:S306"/>
    <mergeCell ref="Q307:S307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B7" sqref="B7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7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28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[43]รายการสรุป!$E$8</f>
        <v>โครงการอ่างเก็บน้ำห้วยทราย จ.พะเยา</v>
      </c>
      <c r="C7" s="24" t="str">
        <f>[43]รายการสรุป!$I$8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[44]รายการสรุป!$J$5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[45]รายการสรุป!$E$5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[45]รายการสรุป!$I$5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[45]รายการสรุป!$J$5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[45]รายการสรุป!$E$6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[45]รายการสรุป!$I$6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[45]รายการสรุป!$J$6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[45]รายการสรุป!$E$7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[45]รายการสรุป!$I$7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[45]รายการสรุป!$J$7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[45]รายการสรุป!$E$8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[45]รายการสรุป!$I$8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[45]รายการสรุป!$J$8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[45]รายการสรุป!$E$9</f>
        <v>ซ่อมแซมสีตัวอาคารที่ทำการสำนักงานฯ สำนักงานชลประทานที่ 2</v>
      </c>
      <c r="C14" s="24" t="str">
        <f>[45]รายการสรุป!$I$9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[45]รายการสรุป!$J$9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[45]รายการสรุป!$E$10</f>
        <v>ซ่อมแซมคลังเก็บเอกสารและอุปกรณ์ สำนักงานชลประทานที่ 2</v>
      </c>
      <c r="C15" s="24" t="str">
        <f>[45]รายการสรุป!$I$10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[45]รายการสรุป!$J$10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[45]รายการสรุป!$E$11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[45]รายการสรุป!$I$11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[45]รายการสรุป!$J$11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[46]รายการสรุป!$E$5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[46]รายการสรุป!$I$5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82" t="s">
        <v>11</v>
      </c>
      <c r="R21" s="82"/>
      <c r="S21" s="82"/>
    </row>
    <row r="22" spans="1:19" x14ac:dyDescent="0.5">
      <c r="Q22" s="82" t="s">
        <v>12</v>
      </c>
      <c r="R22" s="82"/>
      <c r="S22" s="82"/>
    </row>
    <row r="23" spans="1:19" x14ac:dyDescent="0.5">
      <c r="Q23" s="82" t="s">
        <v>13</v>
      </c>
      <c r="R23" s="82"/>
      <c r="S23" s="82"/>
    </row>
    <row r="24" spans="1:19" x14ac:dyDescent="0.5">
      <c r="Q24" s="82" t="s">
        <v>14</v>
      </c>
      <c r="R24" s="82"/>
      <c r="S24" s="82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topLeftCell="D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74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75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[47]รายการสรุป!$E$5</f>
        <v>โครงการฝายทุ่งผึ้งพร้อมระบบส่งน้ำ อ.เทิง จ.เชียงราย</v>
      </c>
      <c r="C6" s="25">
        <f>[47]รายการสรุป!$I$5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[47]รายการสรุป!$J$5</f>
        <v>490000</v>
      </c>
      <c r="H6" s="7">
        <f t="shared" si="3"/>
        <v>36415</v>
      </c>
      <c r="I6" s="7">
        <f t="shared" ref="I6" si="4">H6*100/E6</f>
        <v>7.4316326530612242</v>
      </c>
      <c r="J6" s="7">
        <v>0</v>
      </c>
      <c r="K6" s="7">
        <f>25520+10895</f>
        <v>36415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453585</v>
      </c>
      <c r="Q6" s="7">
        <f t="shared" ref="Q6" si="8">P6*100/E6</f>
        <v>92.568367346938771</v>
      </c>
      <c r="R6" s="7">
        <f t="shared" si="2"/>
        <v>0</v>
      </c>
      <c r="S6" s="8">
        <f t="shared" si="2"/>
        <v>453585</v>
      </c>
    </row>
    <row r="7" spans="1:20" ht="33.75" customHeight="1" x14ac:dyDescent="0.5">
      <c r="A7" s="21">
        <v>2</v>
      </c>
      <c r="B7" s="17" t="str">
        <f>[47]รายการสรุป!$E$6</f>
        <v>โครงการอ่างเก็บน้ำห้วยก้างปลา อ.เวียงป่าเป้า จ.เชียงราย</v>
      </c>
      <c r="C7" s="25">
        <f>[47]รายการสรุป!$I$5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[47]รายการสรุป!$J$6</f>
        <v>810000</v>
      </c>
      <c r="H7" s="7">
        <f t="shared" si="3"/>
        <v>149870.70000000001</v>
      </c>
      <c r="I7" s="7">
        <f t="shared" ref="I7:I8" si="9">H7*100/E7</f>
        <v>18.502555555555556</v>
      </c>
      <c r="J7" s="7">
        <v>0</v>
      </c>
      <c r="K7" s="7">
        <f>57429+7256.35+58795.35+5920+20470</f>
        <v>149870.70000000001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660129.30000000005</v>
      </c>
      <c r="Q7" s="7">
        <f t="shared" ref="Q7:Q8" si="13">P7*100/E7</f>
        <v>81.497444444444454</v>
      </c>
      <c r="R7" s="7">
        <f t="shared" si="2"/>
        <v>0</v>
      </c>
      <c r="S7" s="7">
        <f t="shared" si="2"/>
        <v>660129.30000000005</v>
      </c>
    </row>
    <row r="8" spans="1:20" ht="51.75" customHeight="1" x14ac:dyDescent="0.5">
      <c r="A8" s="21">
        <v>3</v>
      </c>
      <c r="B8" s="17" t="str">
        <f>[47]รายการสรุป!$E$7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[47]รายการสรุป!$I$5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[47]รายการสรุป!$J$7</f>
        <v>280000</v>
      </c>
      <c r="H8" s="7">
        <f t="shared" si="3"/>
        <v>61781.75</v>
      </c>
      <c r="I8" s="7">
        <f t="shared" si="9"/>
        <v>22.064910714285713</v>
      </c>
      <c r="J8" s="7">
        <v>0</v>
      </c>
      <c r="K8" s="7">
        <f>36281.75+25500</f>
        <v>61781.75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218218.25</v>
      </c>
      <c r="Q8" s="7">
        <f t="shared" si="13"/>
        <v>77.935089285714284</v>
      </c>
      <c r="R8" s="7">
        <f t="shared" si="2"/>
        <v>0</v>
      </c>
      <c r="S8" s="7">
        <f t="shared" si="2"/>
        <v>218218.25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82" t="s">
        <v>11</v>
      </c>
      <c r="R11" s="82"/>
      <c r="S11" s="82"/>
    </row>
    <row r="12" spans="1:20" x14ac:dyDescent="0.5">
      <c r="F12" s="38"/>
      <c r="G12" s="38"/>
      <c r="H12" s="38"/>
      <c r="I12" s="38"/>
      <c r="J12" s="39"/>
      <c r="K12" s="26"/>
      <c r="Q12" s="82" t="s">
        <v>12</v>
      </c>
      <c r="R12" s="82"/>
      <c r="S12" s="82"/>
    </row>
    <row r="13" spans="1:20" x14ac:dyDescent="0.5">
      <c r="Q13" s="82" t="s">
        <v>13</v>
      </c>
      <c r="R13" s="82"/>
      <c r="S13" s="82"/>
    </row>
    <row r="14" spans="1:20" x14ac:dyDescent="0.5">
      <c r="Q14" s="82" t="s">
        <v>14</v>
      </c>
      <c r="R14" s="82"/>
      <c r="S14" s="82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83" t="s">
        <v>111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x14ac:dyDescent="0.5">
      <c r="A2" s="84" t="s">
        <v>0</v>
      </c>
      <c r="B2" s="85"/>
      <c r="C2" s="29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0" ht="26.25" customHeight="1" x14ac:dyDescent="0.5">
      <c r="A3" s="86"/>
      <c r="B3" s="87"/>
      <c r="C3" s="30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22619286.050000001</v>
      </c>
      <c r="I4" s="47">
        <f>H4*100/E4</f>
        <v>88.765740718938858</v>
      </c>
      <c r="J4" s="47">
        <f>J5</f>
        <v>0</v>
      </c>
      <c r="K4" s="47">
        <f>K5</f>
        <v>22619286.050000001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2862713.9499999993</v>
      </c>
      <c r="Q4" s="47">
        <f>P4*100/E4</f>
        <v>11.234259281061139</v>
      </c>
      <c r="R4" s="47">
        <f t="shared" ref="R4:S5" si="2">F4-J4-N4</f>
        <v>0</v>
      </c>
      <c r="S4" s="47">
        <f>G4-K4-O4</f>
        <v>2862713.9499999993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22619286.050000001</v>
      </c>
      <c r="I5" s="12">
        <f>H5*100/E5</f>
        <v>88.765740718938858</v>
      </c>
      <c r="J5" s="12">
        <f>SUM(J6)</f>
        <v>0</v>
      </c>
      <c r="K5" s="12">
        <f>SUM(K6)</f>
        <v>22619286.050000001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2862713.9499999993</v>
      </c>
      <c r="Q5" s="12">
        <f>P5*100/E5</f>
        <v>11.234259281061139</v>
      </c>
      <c r="R5" s="12">
        <f t="shared" si="2"/>
        <v>0</v>
      </c>
      <c r="S5" s="12">
        <f t="shared" si="2"/>
        <v>2862713.9499999993</v>
      </c>
    </row>
    <row r="6" spans="1:20" ht="33.75" customHeight="1" x14ac:dyDescent="0.5">
      <c r="A6" s="21"/>
      <c r="B6" s="17" t="str">
        <f>[48]รายการสรุป!$E$5</f>
        <v>อ่างเก็บน้ำแม่อางพร้อมระบบส่งน้ำ อ.แม่ทะ จ.ลำปาง</v>
      </c>
      <c r="C6" s="25" t="str">
        <f>[48]รายการสรุป!$I$5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[48]รายการสรุป!$J$5</f>
        <v>25482000</v>
      </c>
      <c r="H6" s="7">
        <f t="shared" ref="H6" si="3">J6+K6</f>
        <v>22619286.050000001</v>
      </c>
      <c r="I6" s="7">
        <f t="shared" ref="I6" si="4">H6*100/E6</f>
        <v>88.765740718938858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+26753</f>
        <v>22619286.050000001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2862713.9499999993</v>
      </c>
      <c r="Q6" s="7">
        <f t="shared" ref="Q6" si="8">P6*100/E6</f>
        <v>11.234259281061139</v>
      </c>
      <c r="R6" s="7">
        <f t="shared" ref="R6" si="9">F6-J6-N6</f>
        <v>0</v>
      </c>
      <c r="S6" s="7">
        <f t="shared" ref="S6" si="10">G6-K6-O6</f>
        <v>2862713.9499999993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82" t="s">
        <v>11</v>
      </c>
      <c r="R9" s="82"/>
      <c r="S9" s="82"/>
    </row>
    <row r="10" spans="1:20" x14ac:dyDescent="0.5">
      <c r="F10" s="38"/>
      <c r="G10" s="38"/>
      <c r="H10" s="38"/>
      <c r="I10" s="38"/>
      <c r="J10" s="39"/>
      <c r="Q10" s="82" t="s">
        <v>12</v>
      </c>
      <c r="R10" s="82"/>
      <c r="S10" s="82"/>
    </row>
    <row r="11" spans="1:20" x14ac:dyDescent="0.5">
      <c r="Q11" s="82" t="s">
        <v>13</v>
      </c>
      <c r="R11" s="82"/>
      <c r="S11" s="82"/>
    </row>
    <row r="12" spans="1:20" x14ac:dyDescent="0.5">
      <c r="Q12" s="82" t="s">
        <v>14</v>
      </c>
      <c r="R12" s="82"/>
      <c r="S12" s="82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E3" sqref="E3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83" t="s">
        <v>109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x14ac:dyDescent="0.5">
      <c r="A2" s="84" t="s">
        <v>0</v>
      </c>
      <c r="B2" s="85"/>
      <c r="C2" s="58" t="s">
        <v>17</v>
      </c>
      <c r="D2" s="93" t="s">
        <v>1</v>
      </c>
      <c r="E2" s="90" t="s">
        <v>2</v>
      </c>
      <c r="F2" s="91"/>
      <c r="G2" s="92"/>
      <c r="H2" s="90" t="s">
        <v>7</v>
      </c>
      <c r="I2" s="91"/>
      <c r="J2" s="91"/>
      <c r="K2" s="92"/>
      <c r="L2" s="90" t="s">
        <v>8</v>
      </c>
      <c r="M2" s="91"/>
      <c r="N2" s="91"/>
      <c r="O2" s="92"/>
      <c r="P2" s="90" t="s">
        <v>9</v>
      </c>
      <c r="Q2" s="91"/>
      <c r="R2" s="91"/>
      <c r="S2" s="92"/>
    </row>
    <row r="3" spans="1:21" ht="26.25" customHeight="1" x14ac:dyDescent="0.5">
      <c r="A3" s="86"/>
      <c r="B3" s="87"/>
      <c r="C3" s="59" t="s">
        <v>18</v>
      </c>
      <c r="D3" s="94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[49]รายการสรุป!$I$5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[50]รายการสรุป!$J$5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[49]รายการสรุป!$E$6</f>
        <v>ฝายห้วยอ้อน้ำพร้อมระบบส่งน้ำ ต.บ้านค่า อ.เมือง จ.ลำปาง</v>
      </c>
      <c r="C9" s="24" t="str">
        <f>[49]รายการสรุป!$I$6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[50]รายการสรุป!$J$6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[49]รายการสรุป!$E$7</f>
        <v>ฝายแม่ยาวหัวแต ต.เกาะคา อ.เกาะคา จ.ลำปาง</v>
      </c>
      <c r="C10" s="25" t="str">
        <f>[49]รายการสรุป!$I$7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[50]รายการสรุป!$J$7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[50]รายการสรุป!$I$5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[50]รายการสรุป!$E$6</f>
        <v>ฝายห้วยอ้อน้ำพร้อมระบบส่งน้ำ ต.บ้านค่า อ.เมือง จ.ลำปาง</v>
      </c>
      <c r="C15" s="25" t="str">
        <f>[50]รายการสรุป!$I$6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[50]รายการสรุป!$E$7</f>
        <v>ฝายแม่ยาวหัวแต ต.เกาะคา อ.เกาะคา จ.ลำปาง</v>
      </c>
      <c r="C16" s="25" t="str">
        <f>[50]รายการสรุป!$I$7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82" t="s">
        <v>11</v>
      </c>
      <c r="R19" s="82"/>
      <c r="S19" s="82"/>
    </row>
    <row r="20" spans="1:19" x14ac:dyDescent="0.5">
      <c r="F20" s="38"/>
      <c r="G20" s="38"/>
      <c r="H20" s="38"/>
      <c r="I20" s="38"/>
      <c r="J20" s="39"/>
      <c r="K20" s="26"/>
      <c r="Q20" s="82" t="s">
        <v>12</v>
      </c>
      <c r="R20" s="82"/>
      <c r="S20" s="82"/>
    </row>
    <row r="21" spans="1:19" x14ac:dyDescent="0.5">
      <c r="Q21" s="82" t="s">
        <v>13</v>
      </c>
      <c r="R21" s="82"/>
      <c r="S21" s="82"/>
    </row>
    <row r="22" spans="1:19" x14ac:dyDescent="0.5">
      <c r="Q22" s="82" t="s">
        <v>14</v>
      </c>
      <c r="R22" s="82"/>
      <c r="S22" s="82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zoomScale="115" zoomScaleNormal="115" workbookViewId="0">
      <pane ySplit="3" topLeftCell="A4" activePane="bottomLeft" state="frozen"/>
      <selection activeCell="O29" sqref="O29"/>
      <selection pane="bottomLeft" activeCell="J6" sqref="J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5">
      <c r="A2" s="84" t="s">
        <v>0</v>
      </c>
      <c r="B2" s="85"/>
      <c r="C2" s="93" t="s">
        <v>1</v>
      </c>
      <c r="D2" s="90" t="s">
        <v>2</v>
      </c>
      <c r="E2" s="91"/>
      <c r="F2" s="92"/>
      <c r="G2" s="90" t="s">
        <v>7</v>
      </c>
      <c r="H2" s="91"/>
      <c r="I2" s="91"/>
      <c r="J2" s="92"/>
      <c r="K2" s="90" t="s">
        <v>8</v>
      </c>
      <c r="L2" s="91"/>
      <c r="M2" s="91"/>
      <c r="N2" s="92"/>
      <c r="O2" s="90" t="s">
        <v>9</v>
      </c>
      <c r="P2" s="91"/>
      <c r="Q2" s="91"/>
      <c r="R2" s="92"/>
    </row>
    <row r="3" spans="1:19" ht="26.25" customHeight="1" x14ac:dyDescent="0.5">
      <c r="A3" s="86"/>
      <c r="B3" s="87"/>
      <c r="C3" s="94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4939169.0500000007</v>
      </c>
      <c r="H4" s="47">
        <f>G4*100/D4</f>
        <v>16.587504327934429</v>
      </c>
      <c r="I4" s="47">
        <f>SUM(I5)</f>
        <v>0</v>
      </c>
      <c r="J4" s="47">
        <f>SUM(J5)</f>
        <v>4939169.0500000007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24837275.629999999</v>
      </c>
      <c r="P4" s="47">
        <f>O4*100/D4</f>
        <v>83.412495672065575</v>
      </c>
      <c r="Q4" s="47">
        <f t="shared" ref="Q4:R5" si="2">E4-I4-M4</f>
        <v>0</v>
      </c>
      <c r="R4" s="47">
        <f>F4-J4-N4</f>
        <v>24837275.629999999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473776+1283879.6+2160+19968+92000+80925+94270+8880+1528964.05+29220+469620+395606.4+6480+453420</f>
        <v>4939169.0500000007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24837275.629999999</v>
      </c>
      <c r="P5" s="7">
        <f t="shared" ref="P5" si="7">O5*100/D5</f>
        <v>83.412495672065575</v>
      </c>
      <c r="Q5" s="7">
        <f t="shared" si="2"/>
        <v>0</v>
      </c>
      <c r="R5" s="7">
        <f t="shared" si="2"/>
        <v>24837275.629999999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82" t="s">
        <v>11</v>
      </c>
      <c r="Q8" s="82"/>
      <c r="R8" s="82"/>
    </row>
    <row r="9" spans="1:19" x14ac:dyDescent="0.5">
      <c r="E9" s="38"/>
      <c r="F9" s="38"/>
      <c r="G9" s="38"/>
      <c r="H9" s="38"/>
      <c r="I9" s="39"/>
      <c r="P9" s="82" t="s">
        <v>12</v>
      </c>
      <c r="Q9" s="82"/>
      <c r="R9" s="82"/>
    </row>
    <row r="10" spans="1:19" x14ac:dyDescent="0.5">
      <c r="P10" s="82" t="s">
        <v>13</v>
      </c>
      <c r="Q10" s="82"/>
      <c r="R10" s="82"/>
    </row>
    <row r="11" spans="1:19" x14ac:dyDescent="0.5">
      <c r="P11" s="82" t="s">
        <v>14</v>
      </c>
      <c r="Q11" s="82"/>
      <c r="R11" s="82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2017-07-04T02:48:32Z</dcterms:modified>
</cp:coreProperties>
</file>