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12240" windowHeight="8070" firstSheet="4" activeTab="7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กำจัดวัชพืชโอนกลับ)" sheetId="3" r:id="rId3"/>
    <sheet name="เงินกันฯ (ปรับปรุง 116)" sheetId="4" r:id="rId4"/>
    <sheet name="งบลงทุน (ปี 62)" sheetId="5" r:id="rId5"/>
    <sheet name="เงินกันฯปกติ (62 พี่นอม)" sheetId="6" r:id="rId6"/>
    <sheet name="เงินกันฯปกติ (ณ 30 ก.ย.62)" sheetId="7" r:id="rId7"/>
    <sheet name="เงินกันเหลื่อมปี (ช.ถนน สบ.3)" sheetId="8" r:id="rId8"/>
    <sheet name="เงินกันเหลื่อมปี (ช่อมแชม 63)" sheetId="9" r:id="rId9"/>
  </sheets>
  <definedNames/>
  <calcPr fullCalcOnLoad="1"/>
</workbook>
</file>

<file path=xl/sharedStrings.xml><?xml version="1.0" encoding="utf-8"?>
<sst xmlns="http://schemas.openxmlformats.org/spreadsheetml/2006/main" count="600" uniqueCount="290">
  <si>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</si>
  <si>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</si>
  <si>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</si>
  <si>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</si>
  <si>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</si>
  <si>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</si>
  <si>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</si>
  <si>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</si>
  <si>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</si>
  <si>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</si>
  <si>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</si>
  <si>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</si>
  <si>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</si>
  <si>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</si>
  <si>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</si>
  <si>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</si>
  <si>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</si>
  <si>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</si>
  <si>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</si>
  <si>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</si>
  <si>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</si>
  <si>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</si>
  <si>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</si>
  <si>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</si>
  <si>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</si>
  <si>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</si>
  <si>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</si>
  <si>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</si>
  <si>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</si>
  <si>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</si>
  <si>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</si>
  <si>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</si>
  <si>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</si>
  <si>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</si>
  <si>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</si>
  <si>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</si>
  <si>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</si>
  <si>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</si>
  <si>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</si>
  <si>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</si>
  <si>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</si>
  <si>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</si>
  <si>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</si>
  <si>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</si>
  <si>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</si>
  <si>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</si>
  <si>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</si>
  <si>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</si>
  <si>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</si>
  <si>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</si>
  <si>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</si>
  <si>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</si>
  <si>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</si>
  <si>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</si>
  <si>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</si>
  <si>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</si>
  <si>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</si>
  <si>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</si>
  <si>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</si>
  <si>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</si>
  <si>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</si>
  <si>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</si>
  <si>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</si>
  <si>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</si>
  <si>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</si>
  <si>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</si>
  <si>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</si>
  <si>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</si>
  <si>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</si>
  <si>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</si>
  <si>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</si>
  <si>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</si>
  <si>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</si>
  <si>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</si>
  <si>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</si>
  <si>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</si>
  <si>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</si>
  <si>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</si>
  <si>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</si>
  <si>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</si>
  <si>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</si>
  <si>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</si>
  <si>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</si>
  <si>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</si>
  <si>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</si>
  <si>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</si>
  <si>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</si>
  <si>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</si>
  <si>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</si>
  <si>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</si>
  <si>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</si>
  <si>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</si>
  <si>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</si>
  <si>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</si>
  <si>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</si>
  <si>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</si>
  <si>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</si>
  <si>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</si>
  <si>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</si>
  <si>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</si>
  <si>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</si>
  <si>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</si>
  <si>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</si>
  <si>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</si>
  <si>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</si>
  <si>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</si>
  <si>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</si>
  <si>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</si>
  <si>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</si>
  <si>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</si>
  <si>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</si>
  <si>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</si>
  <si>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</si>
  <si>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</si>
  <si>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</si>
  <si>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</si>
  <si>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</si>
  <si>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</si>
  <si>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</si>
  <si>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</si>
  <si>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</si>
  <si>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</si>
  <si>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</si>
  <si>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</si>
  <si>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</si>
  <si>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</si>
  <si>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</si>
  <si>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</si>
  <si>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</si>
  <si>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</si>
  <si>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</si>
  <si>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</si>
  <si>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</si>
  <si>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</si>
  <si>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</si>
  <si>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</si>
  <si>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</si>
  <si>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</si>
  <si>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</si>
  <si>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</si>
  <si>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</si>
  <si>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</si>
  <si>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</si>
  <si>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</si>
  <si>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</si>
  <si>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</si>
  <si>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</si>
  <si>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</si>
  <si>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</si>
  <si>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</si>
  <si>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</si>
  <si>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1.5</t>
  </si>
  <si>
    <t>รักษากิ่วลม-กิ่วคอหมา อ.แจ้ห่ม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</si>
  <si>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โครงการปรับปรุงงานชลประทาน</t>
    </r>
  </si>
  <si>
    <t>รหัสงบประมาณ   0700349052410353</t>
  </si>
  <si>
    <t>ซ่อมแซมอาคารป้องกันการกัดเซาะลาดไหล่ทางถนนขึ้น</t>
  </si>
  <si>
    <t>เขื่อนกิ่วลม โครงการส่งน้ำและบำรุงรักษากิ่วลม-กิ่วคอหมา</t>
  </si>
  <si>
    <t>ต.บ้านแลง อ.เมืองลำปาง จ.ลำปาง</t>
  </si>
  <si>
    <t>16 ต.ค.61</t>
  </si>
  <si>
    <t>รหัสงบประมาณ   0700349052410355</t>
  </si>
  <si>
    <t xml:space="preserve">ซ่อมแซมคลอง RMC.กิ่วลม กม.12+000-กม.14+800 </t>
  </si>
  <si>
    <t>โครงการส่งน้ำและบำรุงรักษากิ่วลม-กิ่วคอหมา ต.บุญนาค-</t>
  </si>
  <si>
    <t>ซ่อมแซมคลองแยกซอย 0.1R-20.0L-RMC.กิ่วลม,0.4L-</t>
  </si>
  <si>
    <t>20.0L-RMC.กิ่วลม และคลองแยกซอย 0.9L-23.0L-RMC.</t>
  </si>
  <si>
    <t xml:space="preserve">กิ่วลม โครงการส่งน้ำและบำรุงรักษากิ่วลม-กิ่วคอหมา </t>
  </si>
  <si>
    <t>รหัสงบประมาณ   0700349052410356</t>
  </si>
  <si>
    <t>รหัสงบประมาณ   0700349052410357</t>
  </si>
  <si>
    <t>กิ่วคอหมา ต.บ้านแลง อ.เมืองลำปาง จ.ลำปาง</t>
  </si>
  <si>
    <t>รหัสงบประมาณ   0700349052410358</t>
  </si>
  <si>
    <t>ซ่อมแซมพนังป้องกันตลิ่งแม่น้ำวังท้ายเขื่อนกิ่วคอหมา เพื่อ</t>
  </si>
  <si>
    <t>ป้องกันน้ำท่วม กม.32+000 ยาว 200 เมตร โครงการส่งน้ำ</t>
  </si>
  <si>
    <t>และบำรุงรักษากิ่วลม-กิ่วคอหมา ต.บ้านสา อ.แจ้ห่ม จ.ลำปาง</t>
  </si>
  <si>
    <t>รักษากิ่วลม-กิ่วคอหมา ต.บ้านแลง อ.เมืองลำปาง จ.ลำปาง</t>
  </si>
  <si>
    <t>รหัสงบประมาณ   0700349052410359</t>
  </si>
  <si>
    <t>รหัสงบประมาณ   0700349052410360</t>
  </si>
  <si>
    <t>ซ่อมแซมท่อลอดคลอง 1R-RMC.กิ่วลม จำนวน 2 แห่ง</t>
  </si>
  <si>
    <t>โครงการส่งน้ำและบำรุงรักษากิ่วลม-กิ่วคอหมา ต.ใหม่พัฒนา</t>
  </si>
  <si>
    <t>อ.เกาะคา จ.ลำปาง</t>
  </si>
  <si>
    <t>รหัสงบประมาณ   0700349052410361</t>
  </si>
  <si>
    <t>ซ่อมแซมอาคารรับน้ำ 2 ทาง ป้องกันน้ำท่วมในแม่น้ำวัง</t>
  </si>
  <si>
    <t>ท้ายเขื่อนกิ่วคอหมา จำนวน 5 แห่ง โครงการส่งน้ำและบำรุง</t>
  </si>
  <si>
    <t>ป้องกันน้ำท่วม กม.14+450 ยาว 100 เมตร โครงการส่งน้ำ</t>
  </si>
  <si>
    <t>และบำรุงรักษากิ่วลม-กิ่วคอหมา ต.ปงดอน อ.แจ้ห่ม จ.ลำปาง</t>
  </si>
  <si>
    <t>19 ต.ค.61</t>
  </si>
  <si>
    <t>รหัสงบประมาณ   0700349052410362</t>
  </si>
  <si>
    <t>ซ่อมแซมพนังป้องกันตลิ่งแม่น้ำวังพร้อมอาคารประกอบ</t>
  </si>
  <si>
    <t>บ้านฮ่องลี่ โครงการส่งน้ำและบำรุงรักษากิ่วลม-กิ่วคอหมา</t>
  </si>
  <si>
    <t>ต.แจ้ห่ม อ.แจ้ห่ม จ.ลำปาง</t>
  </si>
  <si>
    <t>ปรับปรุงคลองซอย 36.7L-RMC.กิ่วลม ต.บ้านเป้า อ.เมือง</t>
  </si>
  <si>
    <t>รหัสงบประมาณ   0700349052420163</t>
  </si>
  <si>
    <t>ปรับปรุงคลองซอย 35.7L-RMC.กิ่วลม ต.บ้านเป้า อ.เมือง</t>
  </si>
  <si>
    <t>รหัสงบประมาณ   0700349052410180</t>
  </si>
  <si>
    <t>ปรับปรุงท่อส่งน้ำสนับสนุนนางแปลงใหญ่ จำนวน 9 แห่ง</t>
  </si>
  <si>
    <t xml:space="preserve">คลองซอย 12 RMC.กิ่วลม ต.ลำปางหลวง อ.เกาะคา </t>
  </si>
  <si>
    <t>รหัสงบประมาณ   0700349052410181</t>
  </si>
  <si>
    <t>ปรับปรุงระบบส่งน้ำสนับสนุนแปลงทฤษฎีใหม่ในพื้นที่</t>
  </si>
  <si>
    <t>ฝ่ายส่งน้ำและบำรุงรักษาที่ 2 อ.เมืองลำปาง จ.ลำปาง</t>
  </si>
  <si>
    <t>รหัสงบประมาณ   0700349052410182</t>
  </si>
  <si>
    <t>ปรับปรุงอาคารอัดน้ำกลางคลอง RMC.กิ่วคอหมา จำนวน</t>
  </si>
  <si>
    <t>3 แห่ง อ.แจ้ห่ม จ.ลำปาง</t>
  </si>
  <si>
    <t>รหัสงบประมาณ   0700349052410183</t>
  </si>
  <si>
    <t>ปรับปรุงคลองซอย 8+034 RMC.กิ่วลม ต.บุญนาคพัฒนา</t>
  </si>
  <si>
    <t>รหัสงบประมาณ   0700349052410184</t>
  </si>
  <si>
    <t xml:space="preserve">รหัสงบประมาณ   0700349052410351 </t>
  </si>
  <si>
    <t>ปรับปรุงคลองซอย 18.3L-1.4L- RMC.กิ่วลม ต.บุญนาค-</t>
  </si>
  <si>
    <t>รหัสงบประมาณ   0700349052410185</t>
  </si>
  <si>
    <t>ปรับปรุงคลองซอย กม.5+838 RMC.กิ่วลม ต.บุญนาค-</t>
  </si>
  <si>
    <t>รหัสงบประมาณ   0700349052410186</t>
  </si>
  <si>
    <t>ปรับปรุงระบายน้ำปลายคลอง คลองซอย 1.6L-RMC.กิ่วลม</t>
  </si>
  <si>
    <t>11.2L-RMC.กิ่วลมและคลองแยกซอย 15.2L-1.1R-RMC.</t>
  </si>
  <si>
    <t>กิ่วลม อ.เมืองลำปาง จ.ลำปาง</t>
  </si>
  <si>
    <t>รหัสงบประมาณ   0700349052410187</t>
  </si>
  <si>
    <t>ปรับปรุงคลองส่งน้ำสายซอย กม.8+000 คลองส่งน้ำสาย-</t>
  </si>
  <si>
    <t>ใหญ่ฝั่งซ้ายท้ายเขื่อนกิ่วคอหมา ต.แจ้ห่ม อ.แจ้ห่ม จ.ลำปาง</t>
  </si>
  <si>
    <t>รหัสงบประมาณ   0700349052410188</t>
  </si>
  <si>
    <t>ปรับปรุงคูส่งน้ำ กม.10+800 คลองส่งน้ำสายใหญ่ฝั่งซ้าย</t>
  </si>
  <si>
    <t>ท้ายเขื่อนกิ่วคอหมา ต.แจ้ห่ม อ.แจ้ห่ม จ.ลำปาง</t>
  </si>
  <si>
    <t>รหัสงบประมาณ   0700349052410189</t>
  </si>
  <si>
    <t>ปรับปรุงคลองแยกซอย คลองซอย 3 RMC.กิ่วคอหมา</t>
  </si>
  <si>
    <t>รหัสงบประมาณ   0700349052420032</t>
  </si>
  <si>
    <t>ปรับปรุงฝายห้วยแม่ไพรลูกที่ 5 พร้อมอาคารประกอบ</t>
  </si>
  <si>
    <t>ต.หนองหล่ม อ.ห้างฉัตร จ.ลำปาง</t>
  </si>
  <si>
    <t>รหัสงบประมาณ   0700349052420162 **</t>
  </si>
  <si>
    <t>รหัสงบประมาณ   0700349054420060</t>
  </si>
  <si>
    <t>ปรับปรุงขยายทางระบายน้ำพร้อมอาคารประกอบแม่น้ำวัง</t>
  </si>
  <si>
    <t>ด้านท้ายเขื่อนกิ่วลม (ระยะที่ 2) ต.บ้านแลง อ.เมืองลำปาง</t>
  </si>
  <si>
    <t>17 ต.ค.61</t>
  </si>
  <si>
    <t>รหัสงบประมาณ   0700349054420119</t>
  </si>
  <si>
    <t>ปรับปรุงขยายทางระบายน้ำพร้อมอาคารประกอบท้ายเขื่อน</t>
  </si>
  <si>
    <t>โครงการส่งน้ำและบำรุงรักษากิ่วลม-กิ่วคอหมา จ.ลำปาง</t>
  </si>
  <si>
    <t>****</t>
  </si>
  <si>
    <t>รหัสงบประมาณ   0700356001410085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</si>
  <si>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</si>
  <si>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จ.ลำปาง</t>
  </si>
  <si>
    <t>23 พ.ย.61</t>
  </si>
  <si>
    <t>รหัสงบประมาณ   0700356001410092</t>
  </si>
  <si>
    <t>บริหารการส่งน้ำในเขตโครงการส่งน้ำกิ่วลม-กิ่วคอหมา</t>
  </si>
  <si>
    <t>รหัสงบประมาณ   0700349052420033</t>
  </si>
  <si>
    <t>ปรับปรุงฝายห้วยแม่ไพรลูกที่ 6 พร้อมระบบส่งน้ำ</t>
  </si>
  <si>
    <t xml:space="preserve"> </t>
  </si>
  <si>
    <t>รหัสงบประมาณ   0700356001410001</t>
  </si>
  <si>
    <t>ปรับปรุงสะพานคอนกรีตเสริมเหล็กคลอง RMC.กิ่วลม</t>
  </si>
  <si>
    <t>กม.8+204 โครงการส่งน้ำและบำรุงรักษากิ่วลม-กิ่วคอหมา</t>
  </si>
  <si>
    <t>ต.บุญนาคพัฒนา อ.เมืองลำปาง จ.ลำปาง</t>
  </si>
  <si>
    <t>4 ก.พ.62</t>
  </si>
  <si>
    <t>26 ธ.ค.61</t>
  </si>
  <si>
    <t>รหัสงบประมาณ   0700356001410A22</t>
  </si>
  <si>
    <t>บำรุงรักษาทางลำเลียงใหญ่ โครงการส่งน้ำและบำรุงรักษา</t>
  </si>
  <si>
    <t>กิ่วลม-กิ่วคอหมา ต.บ้านแลง อ.เมืองลำปาง จ.ลำปาง</t>
  </si>
  <si>
    <t>14 ม.ค.62</t>
  </si>
  <si>
    <t>รวมงบลงทุน (งานทางลำเลียงฯ)</t>
  </si>
  <si>
    <t>2 แห่ง ท้าย กม.20 ต.บุญนาคพัฒนา ,นิคมพัฒนา</t>
  </si>
  <si>
    <t xml:space="preserve">รหัสงบประมาณ   0700345052420116  </t>
  </si>
  <si>
    <t>31 ม.ค.62</t>
  </si>
  <si>
    <t>1 มี.ค.62</t>
  </si>
  <si>
    <t>รหัสงบประมาณ   0700349052410ZS4</t>
  </si>
  <si>
    <t>รหัสงบประมาณ   07003400C4410191</t>
  </si>
  <si>
    <t>ซ่อมแซมถนนคันคลอง RMC.กิ่วคอหมา ต.ปงดอน อ.แจ้ห่ม</t>
  </si>
  <si>
    <t>จ.ลำปาง ระยะทาง 0.653 กม.</t>
  </si>
  <si>
    <t>11 เม.ย.62</t>
  </si>
  <si>
    <r>
      <t xml:space="preserve">1.  </t>
    </r>
    <r>
      <rPr>
        <b/>
        <sz val="12"/>
        <rFont val="TH SarabunPSK"/>
        <family val="2"/>
      </rPr>
      <t>โอนเงินกลับส่วนกลาง</t>
    </r>
    <r>
      <rPr>
        <sz val="12"/>
        <rFont val="TH SarabunPSK"/>
        <family val="2"/>
      </rPr>
      <t xml:space="preserve"> เลขที่ส่งออก กผง..4/2013/2562 ลว.23 เม.ย.2562 (โอนเปลี่ยนแปลงครั้งที่ 2210) จำนวนเงิน 17,187,061.56 บาท</t>
    </r>
  </si>
  <si>
    <r>
      <t xml:space="preserve">2.  </t>
    </r>
    <r>
      <rPr>
        <b/>
        <sz val="12"/>
        <rFont val="TH SarabunPSK"/>
        <family val="2"/>
      </rPr>
      <t>โอนเงินกลับส่วนกลาง</t>
    </r>
    <r>
      <rPr>
        <sz val="12"/>
        <rFont val="TH SarabunPSK"/>
        <family val="2"/>
      </rPr>
      <t xml:space="preserve"> เลขที่ส่งออก กผง..4/2017/2562 ลว.23 เม.ย.2562 (โอนเปลี่ยนแปลงครั้งที่ 2213) จำนวนเงิน 152,570.-บาท</t>
    </r>
  </si>
  <si>
    <t>รหัสงบประมาณ   07003400C4420289</t>
  </si>
  <si>
    <t>ปรับปรุงถนนทางเข้าหัวงานฝ่ายส่งน้ำและบำรุงรักษาที่ 4</t>
  </si>
  <si>
    <t>(เขื่อนกิ่วคอหมา) ต.ปงดอน อ.แจ้ห่ม จ.ลำปาง ระยะทาง 7.013 กม.</t>
  </si>
  <si>
    <t>23 พ.ค.62</t>
  </si>
  <si>
    <t>รหัสงบประมาณ   07003400C4410423</t>
  </si>
  <si>
    <t>ปรับปรุงถนนทางเข้าที่ทำการฝ่ายส่งน้ำและบำรุงรักษาที่ 3</t>
  </si>
  <si>
    <t>โครงการส่งน้ำและบำรุงรักษากิ่วลม-กิ่วคอหมา ต.ห้างฉัตร</t>
  </si>
  <si>
    <t>อ.ห้างฉัตร จ.ลำปาง ระยะทาง 1.300 กม.</t>
  </si>
  <si>
    <t>รายงานผลการเบิกจ่าย  โครงการส่งน้ำและบำรุงรักษากิ่วลม-กิ่วคอหมา  ณ วันที่  31   ก.ค.  2562</t>
  </si>
  <si>
    <r>
      <t xml:space="preserve">4.  </t>
    </r>
    <r>
      <rPr>
        <b/>
        <sz val="12"/>
        <rFont val="TH SarabunPSK"/>
        <family val="2"/>
      </rPr>
      <t>โอนเงินกลับส่วนกลาง</t>
    </r>
    <r>
      <rPr>
        <sz val="12"/>
        <rFont val="TH SarabunPSK"/>
        <family val="2"/>
      </rPr>
      <t xml:space="preserve"> เลขที่ส่งออก กผง..4/3498/2562 ลว.26 ก.ค.2562 (โอนเปลี่ยนแปลงครั้งที่ 3435) จำนวนเงิน 106.59 บาท</t>
    </r>
  </si>
  <si>
    <r>
      <t xml:space="preserve">3.  </t>
    </r>
    <r>
      <rPr>
        <b/>
        <sz val="12"/>
        <rFont val="TH SarabunPSK"/>
        <family val="2"/>
      </rPr>
      <t>โอนเงินกลับส่วนกลาง</t>
    </r>
    <r>
      <rPr>
        <sz val="12"/>
        <rFont val="TH SarabunPSK"/>
        <family val="2"/>
      </rPr>
      <t xml:space="preserve"> เลขที่ส่งออก กผง..4/3498/2562 ลว.26 ก.ค.2562 (โอนเปลี่ยนแปลงครั้งที่ 3435) จำนวนเงิน 209.98 บาท</t>
    </r>
  </si>
  <si>
    <r>
      <t xml:space="preserve">5.  </t>
    </r>
    <r>
      <rPr>
        <b/>
        <sz val="12"/>
        <rFont val="TH SarabunPSK"/>
        <family val="2"/>
      </rPr>
      <t>โอนเงินกลับส่วนกลาง</t>
    </r>
    <r>
      <rPr>
        <sz val="12"/>
        <rFont val="TH SarabunPSK"/>
        <family val="2"/>
      </rPr>
      <t xml:space="preserve"> เลขที่ส่งออก กผง..4/4637/2562 ลว.12 ก.ย.2562 (โอนเปลี่ยนแปลงครั้งที่ 4135) จำนวนเงิน 47,003.97 บาท</t>
    </r>
  </si>
  <si>
    <t>รายงานผลการเบิกจ่าย  โครงการส่งน้ำและบำรุงรักษากิ่วลม-กิ่วคอหมา  ณ วันที่   25  ก.ย. 2562</t>
  </si>
  <si>
    <t>งบกลาง  รายการเงินสำรองจ่ายเพื่อกรณีฉุกเฉินหรือจำเป็น</t>
  </si>
  <si>
    <t xml:space="preserve">รหัสงบประมาณ   9090967012000028  </t>
  </si>
  <si>
    <t>ซ่อมแซมคอนกรีตดาดคลอง RMC.กิ่วลม กม.56+000-</t>
  </si>
  <si>
    <t>กม.60+000 ต.ปงยางคก อ.ห้างฉัตร จ.ลำปาง</t>
  </si>
  <si>
    <t>19 ก.ย.62</t>
  </si>
  <si>
    <t>ซ่อมแซมตลิ่งคลองส่งน้ำสายใหญ่ฝั่งขวากิ่วลม กม.10+</t>
  </si>
  <si>
    <t>000-กม.12+000 ต.บุญนาคพัฒนา อ.เมืองลำปาง จ.ลำปาง</t>
  </si>
  <si>
    <t>ซ่อมแซมสะพานน้ำคอนกรีตเสริมเหล็ก คลองซอย 3+</t>
  </si>
  <si>
    <t>950L-18.3L-RMC.กิ่วลม ต.นิคมพัฒนา อ.เมืองลำปาง</t>
  </si>
  <si>
    <t>รายงานผลการเบิกจ่าย  โครงการส่งน้ำและบำรุงรักษากิ่วลม-กิ่วคอหมา  ณ วันที่  30   ก.ย.  2562</t>
  </si>
  <si>
    <t>หมายเหตุ: โอนเป็นเงินกันเหลื่อมปี ประเภทเอกสาร CK แบบ ก3</t>
  </si>
  <si>
    <t>รายงานผลการเบิกจ่าย  โครงการส่งน้ำและบำรุงรักษากิ่วลม-กิ่วคอหมา  ณ วันที่  22   ต.ค.  2562</t>
  </si>
  <si>
    <t>แผนงาน ยุทธศาสตร์สร้างความมั่นคงและลดความเหลื่อมล้ำทางด้านเศรษฐกิจและสังคม</t>
  </si>
  <si>
    <t>รายงานผลการเบิกจ่าย  โครงการส่งน้ำและบำรุงรักษากิ่วลม-กิ่วคอหมา  ณ วันที่  31  ม.ค.  2563</t>
  </si>
  <si>
    <t>รายงานผลการเบิกจ่าย  โครงการส่งน้ำและบำรุงรักษากิ่วลม-กิ่วคอหมา  ณ วันที่  4   ก.พ. 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</si>
</sst>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  <numFmt numFmtId="208" formatCode="0.000"/>
  </numFmts>
  <fonts count="67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  <font>
      <sz val="11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0" applyNumberFormat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3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43" fontId="5" fillId="32" borderId="10" xfId="0" applyNumberFormat="1" applyFont="1" applyFill="1" applyBorder="1" applyAlignment="1">
      <alignment/>
    </xf>
    <xf numFmtId="43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43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43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43" fontId="5" fillId="32" borderId="14" xfId="0" applyNumberFormat="1" applyFont="1" applyFill="1" applyBorder="1" applyAlignment="1">
      <alignment/>
    </xf>
    <xf numFmtId="43" fontId="9" fillId="32" borderId="14" xfId="33" applyFont="1" applyFill="1" applyBorder="1" applyAlignment="1">
      <alignment/>
    </xf>
    <xf numFmtId="43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43" fontId="5" fillId="32" borderId="13" xfId="0" applyNumberFormat="1" applyFont="1" applyFill="1" applyBorder="1" applyAlignment="1">
      <alignment/>
    </xf>
    <xf numFmtId="43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43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43" fontId="5" fillId="33" borderId="11" xfId="0" applyNumberFormat="1" applyFont="1" applyFill="1" applyBorder="1" applyAlignment="1">
      <alignment/>
    </xf>
    <xf numFmtId="43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5" fillId="0" borderId="0" xfId="0" applyFont="1" applyAlignment="1">
      <alignment horizontal="left"/>
    </xf>
    <xf numFmtId="43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43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43" fontId="2" fillId="18" borderId="11" xfId="0" applyNumberFormat="1" applyFont="1" applyFill="1" applyBorder="1" applyAlignment="1">
      <alignment/>
    </xf>
    <xf numFmtId="43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43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43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43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43" fontId="3" fillId="34" borderId="14" xfId="33" applyFont="1" applyFill="1" applyBorder="1" applyAlignment="1">
      <alignment/>
    </xf>
    <xf numFmtId="43" fontId="5" fillId="18" borderId="11" xfId="0" applyNumberFormat="1" applyFont="1" applyFill="1" applyBorder="1" applyAlignment="1">
      <alignment/>
    </xf>
    <xf numFmtId="43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43" fontId="19" fillId="18" borderId="11" xfId="0" applyNumberFormat="1" applyFont="1" applyFill="1" applyBorder="1" applyAlignment="1">
      <alignment/>
    </xf>
    <xf numFmtId="43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43" fontId="16" fillId="34" borderId="10" xfId="33" applyFont="1" applyFill="1" applyBorder="1" applyAlignment="1">
      <alignment/>
    </xf>
    <xf numFmtId="43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43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43" fontId="22" fillId="33" borderId="10" xfId="0" applyNumberFormat="1" applyFont="1" applyFill="1" applyBorder="1" applyAlignment="1">
      <alignment/>
    </xf>
    <xf numFmtId="43" fontId="19" fillId="33" borderId="10" xfId="33" applyFont="1" applyFill="1" applyBorder="1" applyAlignment="1">
      <alignment/>
    </xf>
    <xf numFmtId="43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43" fontId="22" fillId="34" borderId="10" xfId="0" applyNumberFormat="1" applyFont="1" applyFill="1" applyBorder="1" applyAlignment="1">
      <alignment/>
    </xf>
    <xf numFmtId="43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43" fontId="25" fillId="18" borderId="11" xfId="0" applyNumberFormat="1" applyFont="1" applyFill="1" applyBorder="1" applyAlignment="1">
      <alignment/>
    </xf>
    <xf numFmtId="43" fontId="25" fillId="33" borderId="10" xfId="33" applyFont="1" applyFill="1" applyBorder="1" applyAlignment="1">
      <alignment/>
    </xf>
    <xf numFmtId="43" fontId="25" fillId="18" borderId="11" xfId="33" applyFont="1" applyFill="1" applyBorder="1" applyAlignment="1">
      <alignment/>
    </xf>
    <xf numFmtId="43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43" fontId="22" fillId="34" borderId="13" xfId="0" applyNumberFormat="1" applyFont="1" applyFill="1" applyBorder="1" applyAlignment="1">
      <alignment/>
    </xf>
    <xf numFmtId="43" fontId="19" fillId="34" borderId="13" xfId="33" applyFont="1" applyFill="1" applyBorder="1" applyAlignment="1">
      <alignment/>
    </xf>
    <xf numFmtId="43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43" fontId="22" fillId="33" borderId="12" xfId="0" applyNumberFormat="1" applyFont="1" applyFill="1" applyBorder="1" applyAlignment="1">
      <alignment/>
    </xf>
    <xf numFmtId="43" fontId="25" fillId="33" borderId="12" xfId="33" applyFont="1" applyFill="1" applyBorder="1" applyAlignment="1">
      <alignment/>
    </xf>
    <xf numFmtId="43" fontId="22" fillId="33" borderId="12" xfId="33" applyFont="1" applyFill="1" applyBorder="1" applyAlignment="1">
      <alignment/>
    </xf>
    <xf numFmtId="43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43" fontId="22" fillId="34" borderId="17" xfId="0" applyNumberFormat="1" applyFont="1" applyFill="1" applyBorder="1" applyAlignment="1">
      <alignment/>
    </xf>
    <xf numFmtId="43" fontId="19" fillId="34" borderId="17" xfId="33" applyFont="1" applyFill="1" applyBorder="1" applyAlignment="1">
      <alignment/>
    </xf>
    <xf numFmtId="43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43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43" fontId="22" fillId="34" borderId="14" xfId="0" applyNumberFormat="1" applyFont="1" applyFill="1" applyBorder="1" applyAlignment="1">
      <alignment/>
    </xf>
    <xf numFmtId="43" fontId="19" fillId="34" borderId="14" xfId="33" applyFont="1" applyFill="1" applyBorder="1" applyAlignment="1">
      <alignment/>
    </xf>
    <xf numFmtId="43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43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43" fontId="22" fillId="34" borderId="18" xfId="0" applyNumberFormat="1" applyFont="1" applyFill="1" applyBorder="1" applyAlignment="1">
      <alignment/>
    </xf>
    <xf numFmtId="43" fontId="19" fillId="34" borderId="18" xfId="33" applyFont="1" applyFill="1" applyBorder="1" applyAlignment="1">
      <alignment/>
    </xf>
    <xf numFmtId="43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43" fontId="22" fillId="34" borderId="11" xfId="0" applyNumberFormat="1" applyFont="1" applyFill="1" applyBorder="1" applyAlignment="1">
      <alignment/>
    </xf>
    <xf numFmtId="43" fontId="19" fillId="34" borderId="11" xfId="33" applyFont="1" applyFill="1" applyBorder="1" applyAlignment="1">
      <alignment/>
    </xf>
    <xf numFmtId="43" fontId="22" fillId="34" borderId="11" xfId="33" applyFont="1" applyFill="1" applyBorder="1" applyAlignment="1">
      <alignment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43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43" fontId="19" fillId="33" borderId="13" xfId="0" applyNumberFormat="1" applyFont="1" applyFill="1" applyBorder="1" applyAlignment="1">
      <alignment/>
    </xf>
    <xf numFmtId="204" fontId="25" fillId="18" borderId="11" xfId="0" applyNumberFormat="1" applyFont="1" applyFill="1" applyBorder="1" applyAlignment="1">
      <alignment/>
    </xf>
    <xf numFmtId="43" fontId="19" fillId="34" borderId="10" xfId="0" applyNumberFormat="1" applyFont="1" applyFill="1" applyBorder="1" applyAlignment="1">
      <alignment/>
    </xf>
    <xf numFmtId="205" fontId="16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0" fontId="16" fillId="34" borderId="15" xfId="0" applyFont="1" applyFill="1" applyBorder="1" applyAlignment="1">
      <alignment/>
    </xf>
    <xf numFmtId="204" fontId="22" fillId="34" borderId="15" xfId="0" applyNumberFormat="1" applyFont="1" applyFill="1" applyBorder="1" applyAlignment="1">
      <alignment horizontal="right"/>
    </xf>
    <xf numFmtId="204" fontId="22" fillId="34" borderId="15" xfId="0" applyNumberFormat="1" applyFont="1" applyFill="1" applyBorder="1" applyAlignment="1">
      <alignment/>
    </xf>
    <xf numFmtId="43" fontId="22" fillId="34" borderId="15" xfId="0" applyNumberFormat="1" applyFont="1" applyFill="1" applyBorder="1" applyAlignment="1">
      <alignment/>
    </xf>
    <xf numFmtId="43" fontId="19" fillId="34" borderId="15" xfId="33" applyFont="1" applyFill="1" applyBorder="1" applyAlignment="1">
      <alignment/>
    </xf>
    <xf numFmtId="43" fontId="22" fillId="34" borderId="15" xfId="33" applyFont="1" applyFill="1" applyBorder="1" applyAlignment="1">
      <alignment/>
    </xf>
    <xf numFmtId="43" fontId="25" fillId="33" borderId="13" xfId="33" applyFont="1" applyFill="1" applyBorder="1" applyAlignment="1">
      <alignment/>
    </xf>
    <xf numFmtId="0" fontId="66" fillId="32" borderId="14" xfId="0" applyFont="1" applyFill="1" applyBorder="1" applyAlignment="1">
      <alignment horizontal="center"/>
    </xf>
    <xf numFmtId="0" fontId="20" fillId="32" borderId="17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204" fontId="22" fillId="34" borderId="19" xfId="0" applyNumberFormat="1" applyFont="1" applyFill="1" applyBorder="1" applyAlignment="1">
      <alignment horizontal="right"/>
    </xf>
    <xf numFmtId="204" fontId="22" fillId="34" borderId="19" xfId="0" applyNumberFormat="1" applyFont="1" applyFill="1" applyBorder="1" applyAlignment="1">
      <alignment/>
    </xf>
    <xf numFmtId="43" fontId="22" fillId="34" borderId="19" xfId="0" applyNumberFormat="1" applyFont="1" applyFill="1" applyBorder="1" applyAlignment="1">
      <alignment/>
    </xf>
    <xf numFmtId="43" fontId="19" fillId="34" borderId="19" xfId="33" applyFont="1" applyFill="1" applyBorder="1" applyAlignment="1">
      <alignment/>
    </xf>
    <xf numFmtId="43" fontId="22" fillId="34" borderId="19" xfId="33" applyFont="1" applyFill="1" applyBorder="1" applyAlignment="1">
      <alignment/>
    </xf>
    <xf numFmtId="43" fontId="17" fillId="34" borderId="10" xfId="33" applyFont="1" applyFill="1" applyBorder="1" applyAlignment="1">
      <alignment/>
    </xf>
    <xf numFmtId="43" fontId="25" fillId="33" borderId="10" xfId="0" applyNumberFormat="1" applyFont="1" applyFill="1" applyBorder="1" applyAlignment="1">
      <alignment/>
    </xf>
    <xf numFmtId="204" fontId="25" fillId="33" borderId="10" xfId="0" applyNumberFormat="1" applyFont="1" applyFill="1" applyBorder="1" applyAlignment="1">
      <alignment/>
    </xf>
    <xf numFmtId="49" fontId="21" fillId="34" borderId="10" xfId="0" applyNumberFormat="1" applyFont="1" applyFill="1" applyBorder="1" applyAlignment="1">
      <alignment horizontal="center"/>
    </xf>
    <xf numFmtId="43" fontId="25" fillId="33" borderId="13" xfId="0" applyNumberFormat="1" applyFont="1" applyFill="1" applyBorder="1" applyAlignment="1">
      <alignment/>
    </xf>
    <xf numFmtId="204" fontId="25" fillId="33" borderId="13" xfId="0" applyNumberFormat="1" applyFont="1" applyFill="1" applyBorder="1" applyAlignment="1">
      <alignment horizontal="right"/>
    </xf>
    <xf numFmtId="0" fontId="21" fillId="34" borderId="11" xfId="0" applyFont="1" applyFill="1" applyBorder="1" applyAlignment="1">
      <alignment/>
    </xf>
    <xf numFmtId="204" fontId="17" fillId="34" borderId="10" xfId="33" applyNumberFormat="1" applyFont="1" applyFill="1" applyBorder="1" applyAlignment="1">
      <alignment horizontal="center"/>
    </xf>
    <xf numFmtId="204" fontId="25" fillId="33" borderId="13" xfId="0" applyNumberFormat="1" applyFont="1" applyFill="1" applyBorder="1" applyAlignment="1">
      <alignment/>
    </xf>
    <xf numFmtId="204" fontId="3" fillId="34" borderId="11" xfId="33" applyNumberFormat="1" applyFont="1" applyFill="1" applyBorder="1" applyAlignment="1">
      <alignment horizontal="right"/>
    </xf>
    <xf numFmtId="204" fontId="3" fillId="34" borderId="11" xfId="33" applyNumberFormat="1" applyFont="1" applyFill="1" applyBorder="1" applyAlignment="1">
      <alignment horizontal="center"/>
    </xf>
    <xf numFmtId="43" fontId="3" fillId="34" borderId="11" xfId="33" applyFont="1" applyFill="1" applyBorder="1" applyAlignment="1">
      <alignment/>
    </xf>
    <xf numFmtId="0" fontId="3" fillId="34" borderId="11" xfId="0" applyFont="1" applyFill="1" applyBorder="1" applyAlignment="1">
      <alignment/>
    </xf>
    <xf numFmtId="204" fontId="5" fillId="34" borderId="11" xfId="0" applyNumberFormat="1" applyFont="1" applyFill="1" applyBorder="1" applyAlignment="1">
      <alignment horizontal="right"/>
    </xf>
    <xf numFmtId="204" fontId="5" fillId="34" borderId="11" xfId="0" applyNumberFormat="1" applyFont="1" applyFill="1" applyBorder="1" applyAlignment="1">
      <alignment/>
    </xf>
    <xf numFmtId="43" fontId="5" fillId="34" borderId="11" xfId="0" applyNumberFormat="1" applyFont="1" applyFill="1" applyBorder="1" applyAlignment="1">
      <alignment/>
    </xf>
    <xf numFmtId="43" fontId="12" fillId="34" borderId="11" xfId="33" applyFont="1" applyFill="1" applyBorder="1" applyAlignment="1">
      <alignment/>
    </xf>
    <xf numFmtId="0" fontId="1" fillId="0" borderId="16" xfId="0" applyFont="1" applyBorder="1" applyAlignment="1">
      <alignment/>
    </xf>
    <xf numFmtId="0" fontId="11" fillId="34" borderId="11" xfId="0" applyFont="1" applyFill="1" applyBorder="1" applyAlignment="1">
      <alignment horizontal="center"/>
    </xf>
    <xf numFmtId="204" fontId="1" fillId="34" borderId="10" xfId="33" applyNumberFormat="1" applyFont="1" applyFill="1" applyBorder="1" applyAlignment="1">
      <alignment horizontal="right"/>
    </xf>
    <xf numFmtId="204" fontId="1" fillId="34" borderId="10" xfId="33" applyNumberFormat="1" applyFont="1" applyFill="1" applyBorder="1" applyAlignment="1">
      <alignment horizontal="center"/>
    </xf>
    <xf numFmtId="43" fontId="1" fillId="34" borderId="10" xfId="33" applyFont="1" applyFill="1" applyBorder="1" applyAlignment="1">
      <alignment/>
    </xf>
    <xf numFmtId="43" fontId="2" fillId="34" borderId="10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customHeight="1">
      <c r="A2" s="224" t="s">
        <v>0</v>
      </c>
      <c r="B2" s="224" t="s">
        <v>1</v>
      </c>
      <c r="C2" s="225" t="s">
        <v>2</v>
      </c>
      <c r="D2" s="226" t="s">
        <v>3</v>
      </c>
      <c r="E2" s="226"/>
      <c r="F2" s="226"/>
      <c r="G2" s="226" t="s">
        <v>7</v>
      </c>
      <c r="H2" s="226"/>
      <c r="I2" s="226"/>
      <c r="J2" s="226"/>
      <c r="K2" s="226" t="s">
        <v>9</v>
      </c>
      <c r="L2" s="226"/>
      <c r="M2" s="226"/>
      <c r="N2" s="226"/>
      <c r="O2" s="226" t="s">
        <v>10</v>
      </c>
      <c r="P2" s="226"/>
      <c r="Q2" s="226"/>
      <c r="R2" s="226"/>
    </row>
    <row r="3" spans="1:18" ht="14.25" customHeight="1">
      <c r="A3" s="224"/>
      <c r="B3" s="224"/>
      <c r="C3" s="22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23" t="s">
        <v>76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customHeight="1">
      <c r="A2" s="224" t="s">
        <v>0</v>
      </c>
      <c r="B2" s="224" t="s">
        <v>1</v>
      </c>
      <c r="C2" s="225" t="s">
        <v>2</v>
      </c>
      <c r="D2" s="226" t="s">
        <v>3</v>
      </c>
      <c r="E2" s="226"/>
      <c r="F2" s="226"/>
      <c r="G2" s="226" t="s">
        <v>7</v>
      </c>
      <c r="H2" s="226"/>
      <c r="I2" s="226"/>
      <c r="J2" s="226"/>
      <c r="K2" s="226" t="s">
        <v>9</v>
      </c>
      <c r="L2" s="226"/>
      <c r="M2" s="226"/>
      <c r="N2" s="226"/>
      <c r="O2" s="226" t="s">
        <v>10</v>
      </c>
      <c r="P2" s="226"/>
      <c r="Q2" s="226"/>
      <c r="R2" s="226"/>
    </row>
    <row r="3" spans="1:18" ht="14.25" customHeight="1">
      <c r="A3" s="224"/>
      <c r="B3" s="224"/>
      <c r="C3" s="22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67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63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55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66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63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56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68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63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56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69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57</v>
      </c>
      <c r="C28" s="54" t="s">
        <v>63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58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70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63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59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60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71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63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55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72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63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61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73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63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62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75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8" activePane="bottomLeft" state="frozen"/>
      <selection pane="topLeft" activeCell="A1" sqref="A1"/>
      <selection pane="bottomLeft" activeCell="J19" sqref="J19:J20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8.75">
      <c r="A1" s="227" t="s">
        <v>122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5.75" customHeight="1">
      <c r="A2" s="228" t="s">
        <v>0</v>
      </c>
      <c r="B2" s="228" t="s">
        <v>1</v>
      </c>
      <c r="C2" s="229" t="s">
        <v>2</v>
      </c>
      <c r="D2" s="230" t="s">
        <v>3</v>
      </c>
      <c r="E2" s="230"/>
      <c r="F2" s="230"/>
      <c r="G2" s="230" t="s">
        <v>7</v>
      </c>
      <c r="H2" s="230"/>
      <c r="I2" s="230"/>
      <c r="J2" s="230"/>
      <c r="K2" s="230" t="s">
        <v>9</v>
      </c>
      <c r="L2" s="230"/>
      <c r="M2" s="230"/>
      <c r="N2" s="230"/>
      <c r="O2" s="230" t="s">
        <v>10</v>
      </c>
      <c r="P2" s="230"/>
      <c r="Q2" s="230"/>
      <c r="R2" s="230"/>
    </row>
    <row r="3" spans="1:18" ht="14.25" customHeight="1">
      <c r="A3" s="228"/>
      <c r="B3" s="228"/>
      <c r="C3" s="22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87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90</v>
      </c>
      <c r="B7" s="87" t="s">
        <v>88</v>
      </c>
      <c r="C7" s="88" t="s">
        <v>89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84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54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91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81</v>
      </c>
      <c r="C11" s="88" t="s">
        <v>89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86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92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82</v>
      </c>
      <c r="C14" s="88" t="s">
        <v>89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83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94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79</v>
      </c>
      <c r="C17" s="88" t="s">
        <v>89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93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95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80</v>
      </c>
      <c r="C20" s="88" t="s">
        <v>89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86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77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130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136</v>
      </c>
      <c r="B25" s="87" t="s">
        <v>96</v>
      </c>
      <c r="C25" s="88" t="s">
        <v>98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97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129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137</v>
      </c>
      <c r="B28" s="87" t="s">
        <v>124</v>
      </c>
      <c r="C28" s="88" t="s">
        <v>126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125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131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138</v>
      </c>
      <c r="B31" s="87" t="s">
        <v>127</v>
      </c>
      <c r="C31" s="88" t="s">
        <v>126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128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53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135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132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139</v>
      </c>
      <c r="B36" s="87" t="s">
        <v>133</v>
      </c>
      <c r="C36" s="88" t="s">
        <v>126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134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65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103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140</v>
      </c>
      <c r="B43" s="87" t="s">
        <v>99</v>
      </c>
      <c r="C43" s="88" t="s">
        <v>98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104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141</v>
      </c>
      <c r="B46" s="87" t="s">
        <v>100</v>
      </c>
      <c r="C46" s="88" t="s">
        <v>98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101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64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105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142</v>
      </c>
      <c r="B50" s="87" t="s">
        <v>51</v>
      </c>
      <c r="C50" s="88" t="s">
        <v>98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102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106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98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107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108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109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143</v>
      </c>
      <c r="B58" s="87" t="s">
        <v>110</v>
      </c>
      <c r="C58" s="88" t="s">
        <v>98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111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112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144</v>
      </c>
      <c r="B62" s="87" t="s">
        <v>113</v>
      </c>
      <c r="C62" s="88" t="s">
        <v>98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114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115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116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145</v>
      </c>
      <c r="B66" s="87" t="s">
        <v>117</v>
      </c>
      <c r="C66" s="88" t="s">
        <v>98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118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78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119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146</v>
      </c>
      <c r="B70" s="100" t="s">
        <v>113</v>
      </c>
      <c r="C70" s="88" t="s">
        <v>98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121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54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23" t="s">
        <v>270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customHeight="1">
      <c r="A2" s="224" t="s">
        <v>0</v>
      </c>
      <c r="B2" s="224" t="s">
        <v>1</v>
      </c>
      <c r="C2" s="225" t="s">
        <v>2</v>
      </c>
      <c r="D2" s="226" t="s">
        <v>3</v>
      </c>
      <c r="E2" s="226"/>
      <c r="F2" s="226"/>
      <c r="G2" s="226" t="s">
        <v>7</v>
      </c>
      <c r="H2" s="226"/>
      <c r="I2" s="226"/>
      <c r="J2" s="226"/>
      <c r="K2" s="226" t="s">
        <v>9</v>
      </c>
      <c r="L2" s="226"/>
      <c r="M2" s="226"/>
      <c r="N2" s="226"/>
      <c r="O2" s="226" t="s">
        <v>10</v>
      </c>
      <c r="P2" s="226"/>
      <c r="Q2" s="226"/>
      <c r="R2" s="226"/>
    </row>
    <row r="3" spans="1:18" ht="14.25" customHeight="1">
      <c r="A3" s="224"/>
      <c r="B3" s="224"/>
      <c r="C3" s="22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3358695.59</v>
      </c>
      <c r="E4" s="22">
        <f>SUM(E7)</f>
        <v>0</v>
      </c>
      <c r="F4" s="22">
        <f>SUM(F7)</f>
        <v>3358695.59</v>
      </c>
      <c r="G4" s="24">
        <f>I4+J4</f>
        <v>3358625.55</v>
      </c>
      <c r="H4" s="24">
        <f>G4*100/D4</f>
        <v>99.99791466662806</v>
      </c>
      <c r="I4" s="22">
        <f>SUM(I7)</f>
        <v>0</v>
      </c>
      <c r="J4" s="22">
        <f>SUM(J7)</f>
        <v>3358625.55</v>
      </c>
      <c r="K4" s="24">
        <f>M4+N4</f>
        <v>3.637978807091713E-11</v>
      </c>
      <c r="L4" s="24">
        <f>K4*100/D4</f>
        <v>1.0831522862397044E-15</v>
      </c>
      <c r="M4" s="22">
        <f>SUM(M7)</f>
        <v>0</v>
      </c>
      <c r="N4" s="22">
        <f>SUM(N7)</f>
        <v>3.637978807091713E-11</v>
      </c>
      <c r="O4" s="22">
        <f>Q4+R4</f>
        <v>70.04000000000087</v>
      </c>
      <c r="P4" s="22">
        <f>O4*100/D4</f>
        <v>0.002085333371935647</v>
      </c>
      <c r="Q4" s="22">
        <f>SUM(Q7)</f>
        <v>0</v>
      </c>
      <c r="R4" s="22">
        <f>SUM(R7)</f>
        <v>70.04000000000087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252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127</v>
      </c>
      <c r="C7" s="36" t="s">
        <v>253</v>
      </c>
      <c r="D7" s="37">
        <f>F7+E7</f>
        <v>3358695.59</v>
      </c>
      <c r="E7" s="38"/>
      <c r="F7" s="37">
        <v>3358695.59</v>
      </c>
      <c r="G7" s="39">
        <f>I7+J7</f>
        <v>3358625.55</v>
      </c>
      <c r="H7" s="50">
        <f>G7*100/D7</f>
        <v>99.99791466662806</v>
      </c>
      <c r="I7" s="39"/>
      <c r="J7" s="39">
        <f>1045290.05+480151.9+30100+1098494.8+510327.3+31540+41659.25+17614+45627.75+18114+35706.5+4000</f>
        <v>3358625.55</v>
      </c>
      <c r="K7" s="39">
        <f>M7+N7</f>
        <v>3.637978807091713E-11</v>
      </c>
      <c r="L7" s="39">
        <f>K7*100/D7</f>
        <v>1.0831522862397044E-15</v>
      </c>
      <c r="M7" s="39"/>
      <c r="N7" s="39">
        <f>480151.9+26320+8820-480151.9-30100+30880+494487.4+23185.5-510327.3-31540-7345.6-3120-1260+17614+18114-17614-18114+4000-4000</f>
        <v>3.637978807091713E-11</v>
      </c>
      <c r="O7" s="39">
        <f>D7-G7-K7</f>
        <v>70.04000000000087</v>
      </c>
      <c r="P7" s="39">
        <f>O7*100/D7</f>
        <v>0.002085333371935647</v>
      </c>
      <c r="Q7" s="39">
        <f>E7-I7-M7</f>
        <v>0</v>
      </c>
      <c r="R7" s="39">
        <f>F7-J7-N7</f>
        <v>70.04000000000087</v>
      </c>
    </row>
    <row r="8" spans="1:18" ht="17.25" customHeight="1">
      <c r="A8" s="6"/>
      <c r="B8" s="7" t="s">
        <v>251</v>
      </c>
      <c r="C8" s="67"/>
      <c r="D8" s="68"/>
      <c r="E8" s="69"/>
      <c r="F8" s="68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7.25" customHeight="1">
      <c r="A9" s="16"/>
      <c r="B9" s="15" t="s">
        <v>49</v>
      </c>
      <c r="C9" s="51"/>
      <c r="D9" s="32"/>
      <c r="E9" s="33"/>
      <c r="F9" s="32"/>
      <c r="G9" s="34"/>
      <c r="H9" s="35"/>
      <c r="I9" s="34"/>
      <c r="J9" s="35"/>
      <c r="K9" s="34"/>
      <c r="L9" s="35"/>
      <c r="M9" s="34"/>
      <c r="N9" s="34"/>
      <c r="O9" s="34"/>
      <c r="P9" s="35"/>
      <c r="Q9" s="34"/>
      <c r="R9" s="34"/>
    </row>
    <row r="11" ht="18">
      <c r="B11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0"/>
  <sheetViews>
    <sheetView zoomScale="120" zoomScaleNormal="120" zoomScalePageLayoutView="0" workbookViewId="0" topLeftCell="A1">
      <pane ySplit="4" topLeftCell="A98" activePane="bottomLeft" state="frozen"/>
      <selection pane="topLeft" activeCell="A1" sqref="A1"/>
      <selection pane="bottomLeft" activeCell="G122" sqref="G122"/>
    </sheetView>
  </sheetViews>
  <sheetFormatPr defaultColWidth="9.140625" defaultRowHeight="12.75"/>
  <cols>
    <col min="1" max="1" width="4.28125" style="77" customWidth="1"/>
    <col min="2" max="2" width="34.28125" style="77" customWidth="1"/>
    <col min="3" max="3" width="6.42187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8515625" style="77" customWidth="1"/>
    <col min="18" max="18" width="9.140625" style="77" customWidth="1"/>
    <col min="19" max="16384" width="9.140625" style="77" customWidth="1"/>
  </cols>
  <sheetData>
    <row r="1" spans="1:18" ht="18.75">
      <c r="A1" s="227" t="s">
        <v>274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15.75" customHeight="1">
      <c r="A2" s="228" t="s">
        <v>0</v>
      </c>
      <c r="B2" s="228" t="s">
        <v>1</v>
      </c>
      <c r="C2" s="231" t="s">
        <v>2</v>
      </c>
      <c r="D2" s="230" t="s">
        <v>3</v>
      </c>
      <c r="E2" s="230"/>
      <c r="F2" s="230"/>
      <c r="G2" s="230" t="s">
        <v>7</v>
      </c>
      <c r="H2" s="230"/>
      <c r="I2" s="230"/>
      <c r="J2" s="230"/>
      <c r="K2" s="230" t="s">
        <v>9</v>
      </c>
      <c r="L2" s="230"/>
      <c r="M2" s="230"/>
      <c r="N2" s="230"/>
      <c r="O2" s="230" t="s">
        <v>10</v>
      </c>
      <c r="P2" s="230"/>
      <c r="Q2" s="230"/>
      <c r="R2" s="230"/>
    </row>
    <row r="3" spans="1:18" ht="14.25" customHeight="1">
      <c r="A3" s="228"/>
      <c r="B3" s="228"/>
      <c r="C3" s="23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11</v>
      </c>
      <c r="C4" s="81"/>
      <c r="D4" s="181">
        <f>E4+F4</f>
        <v>179203144.9</v>
      </c>
      <c r="E4" s="113">
        <f>SUM(E59+E122+E126)</f>
        <v>19818586.18</v>
      </c>
      <c r="F4" s="113">
        <f>SUM(F59+F122+F126)</f>
        <v>159384558.72</v>
      </c>
      <c r="G4" s="115">
        <f>I4+J4</f>
        <v>164024873.92000002</v>
      </c>
      <c r="H4" s="115">
        <f>G4*100/D4</f>
        <v>91.5301313554124</v>
      </c>
      <c r="I4" s="113">
        <f>SUM(I59+I122+I126)</f>
        <v>4807322.109999999</v>
      </c>
      <c r="J4" s="113">
        <f>SUM(J59+J122+J126)</f>
        <v>159217551.81000003</v>
      </c>
      <c r="K4" s="115">
        <f>M4+N4</f>
        <v>15011262.780000007</v>
      </c>
      <c r="L4" s="115">
        <f>K4*100/D4</f>
        <v>8.376673739948414</v>
      </c>
      <c r="M4" s="113">
        <f>SUM(M59+M122+M126)</f>
        <v>15011262.78</v>
      </c>
      <c r="N4" s="113">
        <f>SUM(N59+N122+N126)</f>
        <v>6.848855704788548E-09</v>
      </c>
      <c r="O4" s="113">
        <f>Q4+R4</f>
        <v>167008.19999996087</v>
      </c>
      <c r="P4" s="113">
        <f>O4*100/D4</f>
        <v>0.09319490463917682</v>
      </c>
      <c r="Q4" s="113">
        <f>SUM(Q59+Q122+Q126)</f>
        <v>1.290000000037253</v>
      </c>
      <c r="R4" s="113">
        <f>SUM(R59+R122+R126)</f>
        <v>167006.90999996083</v>
      </c>
    </row>
    <row r="5" spans="1:18" ht="19.5" customHeight="1">
      <c r="A5" s="157">
        <v>1</v>
      </c>
      <c r="B5" s="120" t="s">
        <v>153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.75" customHeight="1">
      <c r="A6" s="100"/>
      <c r="B6" s="86" t="s">
        <v>154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90</v>
      </c>
      <c r="B7" s="87" t="s">
        <v>155</v>
      </c>
      <c r="C7" s="88" t="s">
        <v>158</v>
      </c>
      <c r="D7" s="117">
        <f>F7+E7</f>
        <v>2971729.18</v>
      </c>
      <c r="E7" s="98"/>
      <c r="F7" s="117">
        <f>3000000-28270.82</f>
        <v>2971729.18</v>
      </c>
      <c r="G7" s="92">
        <f>J7+I7</f>
        <v>2971729.18</v>
      </c>
      <c r="H7" s="116">
        <f>G7*100/D7</f>
        <v>100</v>
      </c>
      <c r="I7" s="92"/>
      <c r="J7" s="92">
        <f>59463+99989.28+55845+73872+70112.6+9000+2734.8+158305.15+476030+76433.2+190842.85+76433.2+493778+58960+158303.15+88013+11745+166637+95570+28000+85857+122914.5+185200+44441.9+63878.85+19369.7</f>
        <v>2971729.18</v>
      </c>
      <c r="K7" s="92">
        <f>N7+M7</f>
        <v>0</v>
      </c>
      <c r="L7" s="99">
        <f>K7*100/D7</f>
        <v>0</v>
      </c>
      <c r="M7" s="92"/>
      <c r="N7" s="92">
        <f>9000+2734.8-9000-2734.8+76433.2+76433.2-76433.2+88013-76433.2+28000+95570-88013+3469.6-95570+40972.3-28000+19369.7-44441.9-19369.7</f>
        <v>0</v>
      </c>
      <c r="O7" s="92">
        <f>D7-G7-K7</f>
        <v>0</v>
      </c>
      <c r="P7" s="92">
        <f>O7*100/D7</f>
        <v>0</v>
      </c>
      <c r="Q7" s="92">
        <f>E7-I7-M7</f>
        <v>0</v>
      </c>
      <c r="R7" s="92">
        <f>F7-J7-N7</f>
        <v>0</v>
      </c>
    </row>
    <row r="8" spans="1:18" s="112" customFormat="1" ht="18" customHeight="1">
      <c r="A8" s="100"/>
      <c r="B8" s="87" t="s">
        <v>156</v>
      </c>
      <c r="C8" s="107"/>
      <c r="D8" s="147"/>
      <c r="E8" s="148"/>
      <c r="F8" s="147"/>
      <c r="G8" s="182"/>
      <c r="H8" s="99"/>
      <c r="I8" s="182"/>
      <c r="J8" s="99"/>
      <c r="K8" s="182"/>
      <c r="L8" s="99"/>
      <c r="M8" s="182"/>
      <c r="N8" s="182"/>
      <c r="O8" s="99"/>
      <c r="P8" s="99"/>
      <c r="Q8" s="182"/>
      <c r="R8" s="99"/>
    </row>
    <row r="9" spans="1:18" s="112" customFormat="1" ht="18" customHeight="1">
      <c r="A9" s="100"/>
      <c r="B9" s="87" t="s">
        <v>157</v>
      </c>
      <c r="C9" s="107"/>
      <c r="D9" s="147"/>
      <c r="E9" s="148"/>
      <c r="F9" s="147"/>
      <c r="G9" s="182"/>
      <c r="H9" s="99"/>
      <c r="I9" s="182"/>
      <c r="J9" s="99"/>
      <c r="K9" s="182"/>
      <c r="L9" s="99"/>
      <c r="M9" s="182"/>
      <c r="N9" s="182"/>
      <c r="O9" s="99"/>
      <c r="P9" s="99"/>
      <c r="Q9" s="182"/>
      <c r="R9" s="99"/>
    </row>
    <row r="10" spans="1:18" s="112" customFormat="1" ht="16.5" customHeight="1">
      <c r="A10" s="100"/>
      <c r="B10" s="86" t="s">
        <v>159</v>
      </c>
      <c r="C10" s="107"/>
      <c r="D10" s="147"/>
      <c r="E10" s="148"/>
      <c r="F10" s="147"/>
      <c r="G10" s="182"/>
      <c r="H10" s="99"/>
      <c r="I10" s="182"/>
      <c r="J10" s="99"/>
      <c r="K10" s="182"/>
      <c r="L10" s="99"/>
      <c r="M10" s="182"/>
      <c r="N10" s="182"/>
      <c r="O10" s="99"/>
      <c r="P10" s="99"/>
      <c r="Q10" s="182"/>
      <c r="R10" s="99"/>
    </row>
    <row r="11" spans="1:18" s="112" customFormat="1" ht="15.75" customHeight="1">
      <c r="A11" s="100">
        <v>1.2</v>
      </c>
      <c r="B11" s="87" t="s">
        <v>160</v>
      </c>
      <c r="C11" s="88" t="s">
        <v>158</v>
      </c>
      <c r="D11" s="117">
        <f>F11+E11</f>
        <v>2032106</v>
      </c>
      <c r="E11" s="98"/>
      <c r="F11" s="117">
        <f>2300000-267894</f>
        <v>2032106</v>
      </c>
      <c r="G11" s="92">
        <f>J11+I11</f>
        <v>2030453.77</v>
      </c>
      <c r="H11" s="99">
        <f>G11*100/D11</f>
        <v>99.91869370987537</v>
      </c>
      <c r="I11" s="92"/>
      <c r="J11" s="92">
        <f>38046.1+99343.51+156638.75+14040+53940.7+2734.8+154524.1+14435+10320+61607.8+3050+5365+136883.25+9376+7680+15000+5160+171116+6956+31740+6222.8+11803+33327.4+14091.2+729911+22217.6+85170+8000+6569+18251.1+16712+53808.51+15473.15+10940</f>
        <v>2030453.77</v>
      </c>
      <c r="K11" s="92">
        <f>N11+M11</f>
        <v>0</v>
      </c>
      <c r="L11" s="99">
        <f>K11*100/D11</f>
        <v>0</v>
      </c>
      <c r="M11" s="92"/>
      <c r="N11" s="92"/>
      <c r="O11" s="92">
        <f>D11-G11-K11</f>
        <v>1652.2299999999814</v>
      </c>
      <c r="P11" s="92">
        <f>O11*100/D11</f>
        <v>0.08130629012462841</v>
      </c>
      <c r="Q11" s="92">
        <f>E11-I11-M11</f>
        <v>0</v>
      </c>
      <c r="R11" s="92">
        <f>F11-J11-N11</f>
        <v>1652.2299999999814</v>
      </c>
    </row>
    <row r="12" spans="1:18" s="112" customFormat="1" ht="15.75" customHeight="1">
      <c r="A12" s="100"/>
      <c r="B12" s="87" t="s">
        <v>161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5.75" customHeight="1">
      <c r="A13" s="100"/>
      <c r="B13" s="87" t="s">
        <v>48</v>
      </c>
      <c r="C13" s="107"/>
      <c r="D13" s="108"/>
      <c r="E13" s="109"/>
      <c r="F13" s="108"/>
      <c r="G13" s="110"/>
      <c r="H13" s="99"/>
      <c r="I13" s="110"/>
      <c r="J13" s="111" t="s">
        <v>239</v>
      </c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6.5" customHeight="1">
      <c r="A14" s="158"/>
      <c r="B14" s="86" t="s">
        <v>165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7.25" customHeight="1">
      <c r="A15" s="88" t="s">
        <v>147</v>
      </c>
      <c r="B15" s="87" t="s">
        <v>162</v>
      </c>
      <c r="C15" s="88" t="s">
        <v>158</v>
      </c>
      <c r="D15" s="117">
        <f>F15+E15</f>
        <v>2043959</v>
      </c>
      <c r="E15" s="98"/>
      <c r="F15" s="117">
        <f>2100000-56041</f>
        <v>2043959</v>
      </c>
      <c r="G15" s="92">
        <f>J15+I15</f>
        <v>2043733.3999999997</v>
      </c>
      <c r="H15" s="99">
        <f>G15*100/D15</f>
        <v>99.98896259660785</v>
      </c>
      <c r="I15" s="92"/>
      <c r="J15" s="92">
        <f>137947.3+258072.5+65115+237416.15+123040.6+2734.8+50242.25+35873.35+39435+55497.85+34775.4+6868+39675+23892.5+34720+6827.67+238701+82903+33327.4+16091.2+41465+34914.8+80542.43+16091.2+64533+73720+36502.2+19114+30152.6+56882+18714+36502.2+6500+4944</f>
        <v>2043733.3999999997</v>
      </c>
      <c r="K15" s="92">
        <f>N15+M15</f>
        <v>-5.820766091346741E-11</v>
      </c>
      <c r="L15" s="116">
        <f>K15*100/D15</f>
        <v>-2.8477900443926422E-15</v>
      </c>
      <c r="M15" s="92"/>
      <c r="N15" s="92">
        <f>35873.35+459857+35873.35-35873.35+23892.5-34775.4-1097.95-23892.5+16091.2-238701-82903+16091.2-16091.2+19114-16091.2-64533-73720-19114+18714-18714</f>
        <v>-5.820766091346741E-11</v>
      </c>
      <c r="O15" s="92">
        <f>D15-G15-K15</f>
        <v>225.60000000038417</v>
      </c>
      <c r="P15" s="92">
        <f>O15*100/D15</f>
        <v>0.011037403392161202</v>
      </c>
      <c r="Q15" s="92">
        <f>E15-I15-M15</f>
        <v>0</v>
      </c>
      <c r="R15" s="92">
        <f>F15-J15-N15</f>
        <v>225.60000000038417</v>
      </c>
    </row>
    <row r="16" spans="1:18" s="112" customFormat="1" ht="17.25" customHeight="1">
      <c r="A16" s="100"/>
      <c r="B16" s="87" t="s">
        <v>163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7" t="s">
        <v>164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8.75" customHeight="1">
      <c r="A18" s="100"/>
      <c r="B18" s="87" t="s">
        <v>49</v>
      </c>
      <c r="C18" s="107"/>
      <c r="D18" s="108"/>
      <c r="E18" s="109"/>
      <c r="F18" s="108"/>
      <c r="G18" s="110"/>
      <c r="H18" s="99"/>
      <c r="I18" s="110"/>
      <c r="J18" s="111"/>
      <c r="K18" s="110"/>
      <c r="L18" s="111"/>
      <c r="M18" s="110"/>
      <c r="N18" s="110"/>
      <c r="O18" s="111"/>
      <c r="P18" s="111"/>
      <c r="Q18" s="110"/>
      <c r="R18" s="111"/>
    </row>
    <row r="19" spans="1:18" s="112" customFormat="1" ht="16.5" customHeight="1">
      <c r="A19" s="100"/>
      <c r="B19" s="86" t="s">
        <v>166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88" t="s">
        <v>148</v>
      </c>
      <c r="B20" s="87" t="s">
        <v>50</v>
      </c>
      <c r="C20" s="88" t="s">
        <v>158</v>
      </c>
      <c r="D20" s="117">
        <f>F20+E20</f>
        <v>1500000</v>
      </c>
      <c r="E20" s="98"/>
      <c r="F20" s="117">
        <v>1500000</v>
      </c>
      <c r="G20" s="92">
        <f>J20+I20</f>
        <v>1498926.6199999999</v>
      </c>
      <c r="H20" s="99">
        <f>G20*100/D20</f>
        <v>99.92844133333334</v>
      </c>
      <c r="I20" s="91"/>
      <c r="J20" s="92">
        <f>16621.2+30450+74539.11+9441.4+16540+110410+66654.8+150000+1280+3875.54+73004.4+12054+397618+178103+10080.47+68638.05+24091.2+71811.85+24091.2+104744.4+16500+27748+4828+5802</f>
        <v>1498926.6199999999</v>
      </c>
      <c r="K20" s="91">
        <f>N20+M20</f>
        <v>0</v>
      </c>
      <c r="L20" s="116">
        <f>K20*100/D20</f>
        <v>0</v>
      </c>
      <c r="M20" s="91"/>
      <c r="N20" s="91">
        <f>16840-16540-300+48182.4-24091.2+16500-24091.2-16500</f>
        <v>0</v>
      </c>
      <c r="O20" s="92">
        <f>D20-G20-K20</f>
        <v>1073.380000000121</v>
      </c>
      <c r="P20" s="92">
        <f>O20*100/D20</f>
        <v>0.07155866666667474</v>
      </c>
      <c r="Q20" s="92">
        <f>E20-I20-M20</f>
        <v>0</v>
      </c>
      <c r="R20" s="92">
        <f>F20-J20-N20</f>
        <v>1073.380000000121</v>
      </c>
    </row>
    <row r="21" spans="1:18" s="112" customFormat="1" ht="17.25" customHeight="1">
      <c r="A21" s="100"/>
      <c r="B21" s="87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" customHeight="1">
      <c r="A22" s="100"/>
      <c r="B22" s="87" t="s">
        <v>167</v>
      </c>
      <c r="C22" s="107"/>
      <c r="D22" s="108"/>
      <c r="E22" s="109"/>
      <c r="F22" s="108"/>
      <c r="G22" s="110"/>
      <c r="H22" s="99"/>
      <c r="I22" s="110"/>
      <c r="J22" s="111"/>
      <c r="K22" s="110"/>
      <c r="L22" s="111"/>
      <c r="M22" s="110"/>
      <c r="N22" s="110"/>
      <c r="O22" s="111"/>
      <c r="P22" s="111"/>
      <c r="Q22" s="110"/>
      <c r="R22" s="111"/>
    </row>
    <row r="23" spans="1:18" s="112" customFormat="1" ht="15.75" customHeight="1">
      <c r="A23" s="100"/>
      <c r="B23" s="86" t="s">
        <v>168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88" t="s">
        <v>151</v>
      </c>
      <c r="B24" s="87" t="s">
        <v>169</v>
      </c>
      <c r="C24" s="88" t="s">
        <v>158</v>
      </c>
      <c r="D24" s="117">
        <f>F24+E24</f>
        <v>2976517.2</v>
      </c>
      <c r="E24" s="98"/>
      <c r="F24" s="117">
        <f>3200000-223482.8</f>
        <v>2976517.2</v>
      </c>
      <c r="G24" s="92">
        <f>J24+I24</f>
        <v>2968435.08</v>
      </c>
      <c r="H24" s="99">
        <f>G24*100/D24</f>
        <v>99.7284705762829</v>
      </c>
      <c r="I24" s="91"/>
      <c r="J24" s="92">
        <f>54707.8+69877+61813.6+39675+2734.8+83318.5+136500+18966.68+25060+87287+53380+40671+48480+214160+12720+64864+136500+117048.75+31600+79350+49228+18000+572835.2+15360+83318.5+468525+48228+18882.8+56736.55+69829.6+19606.1+46983.7+2600+73004.4+38388.1+8195</f>
        <v>2968435.08</v>
      </c>
      <c r="K24" s="91">
        <f>N24+M24</f>
        <v>-1.4566126083082054E-12</v>
      </c>
      <c r="L24" s="116">
        <f>K24*100/D24</f>
        <v>-4.8936811395150186E-17</v>
      </c>
      <c r="M24" s="91"/>
      <c r="N24" s="91">
        <f>390048.75+2734.8-2734.8+468525-136500+572835.2+18000+89899+33080+18000-40671-48480-2600-136500-117048.75-49228-18000+48228-572835.2-468525+2500+24903.9-48228+2600+58106.5-46983.7-2600-38388.1-100-38.6</f>
        <v>-1.4566126083082054E-12</v>
      </c>
      <c r="O24" s="92">
        <f>D24-G24-K24</f>
        <v>8082.120000000114</v>
      </c>
      <c r="P24" s="92">
        <f>O24*100/D24</f>
        <v>0.2715294237170917</v>
      </c>
      <c r="Q24" s="92">
        <f>E24-I24-M24</f>
        <v>0</v>
      </c>
      <c r="R24" s="92">
        <f>F24-J24-N24</f>
        <v>8082.120000000114</v>
      </c>
    </row>
    <row r="25" spans="1:18" s="112" customFormat="1" ht="19.5" customHeight="1">
      <c r="A25" s="100"/>
      <c r="B25" s="87" t="s">
        <v>170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7.25" customHeight="1">
      <c r="A26" s="100"/>
      <c r="B26" s="87" t="s">
        <v>171</v>
      </c>
      <c r="C26" s="107"/>
      <c r="D26" s="108"/>
      <c r="E26" s="109"/>
      <c r="F26" s="108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5.75" customHeight="1">
      <c r="A27" s="100"/>
      <c r="B27" s="86" t="s">
        <v>173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>
        <v>1.6</v>
      </c>
      <c r="B28" s="87" t="s">
        <v>51</v>
      </c>
      <c r="C28" s="88" t="s">
        <v>158</v>
      </c>
      <c r="D28" s="117">
        <f>F28+E28</f>
        <v>999893.41</v>
      </c>
      <c r="E28" s="98"/>
      <c r="F28" s="117">
        <f>1000000-106.59</f>
        <v>999893.41</v>
      </c>
      <c r="G28" s="92">
        <f>J28+I28</f>
        <v>999893.41</v>
      </c>
      <c r="H28" s="116">
        <f>G28*100/D28</f>
        <v>100</v>
      </c>
      <c r="I28" s="91"/>
      <c r="J28" s="92">
        <f>9480.9+9441.4+11200+2320+17457.4+11200+493800+59400+114830+20200+32930.55+11200+20200+16170+20000+49727.16+5398+94938</f>
        <v>999893.41</v>
      </c>
      <c r="K28" s="91">
        <f>N28+M28</f>
        <v>0</v>
      </c>
      <c r="L28" s="116">
        <f>K28*100/D28</f>
        <v>0</v>
      </c>
      <c r="M28" s="91"/>
      <c r="N28" s="91">
        <f>56000+493800-11200+9000-11200-493800-20200+9000-11200-20200</f>
        <v>0</v>
      </c>
      <c r="O28" s="92">
        <f>D28-G28-K28</f>
        <v>0</v>
      </c>
      <c r="P28" s="92">
        <f>O28*100/D28</f>
        <v>0</v>
      </c>
      <c r="Q28" s="92">
        <f>E28-I28-M28</f>
        <v>0</v>
      </c>
      <c r="R28" s="92">
        <f>F28-J28-N28</f>
        <v>0</v>
      </c>
    </row>
    <row r="29" spans="1:18" s="112" customFormat="1" ht="17.25" customHeight="1">
      <c r="A29" s="100"/>
      <c r="B29" s="87" t="s">
        <v>52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9.5" customHeight="1">
      <c r="A30" s="100"/>
      <c r="B30" s="87" t="s">
        <v>172</v>
      </c>
      <c r="C30" s="107"/>
      <c r="D30" s="108"/>
      <c r="E30" s="109"/>
      <c r="F30" s="108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5" customHeight="1">
      <c r="A31" s="100"/>
      <c r="B31" s="86" t="s">
        <v>174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88" t="s">
        <v>149</v>
      </c>
      <c r="B32" s="87" t="s">
        <v>175</v>
      </c>
      <c r="C32" s="88" t="s">
        <v>158</v>
      </c>
      <c r="D32" s="117">
        <f>F32+E32</f>
        <v>498306.22</v>
      </c>
      <c r="E32" s="98"/>
      <c r="F32" s="117">
        <f>500000-1693.78</f>
        <v>498306.22</v>
      </c>
      <c r="G32" s="92">
        <f>J32+I32</f>
        <v>498306.22</v>
      </c>
      <c r="H32" s="116">
        <f>G32*100/D32</f>
        <v>100</v>
      </c>
      <c r="I32" s="91"/>
      <c r="J32" s="92">
        <f>34995+29450+24995.55+85452+49689.92+4840+27376.65+17942+23805+14335.5+24995.55+83292+14335.5+4272+9441.4+16266.85+9870.1+2452.2+10499+10000</f>
        <v>498306.22</v>
      </c>
      <c r="K32" s="91">
        <f>N32+M32</f>
        <v>0</v>
      </c>
      <c r="L32" s="116">
        <f>K32*100/D32</f>
        <v>0</v>
      </c>
      <c r="M32" s="91"/>
      <c r="N32" s="91">
        <f>83292+28671-14335.5-83292-14335.5+2452.2-2452.2</f>
        <v>0</v>
      </c>
      <c r="O32" s="92">
        <f>D32-G32-K32</f>
        <v>0</v>
      </c>
      <c r="P32" s="92">
        <f>O32*100/D32</f>
        <v>0</v>
      </c>
      <c r="Q32" s="92">
        <f>E32-I32-M32</f>
        <v>0</v>
      </c>
      <c r="R32" s="92">
        <f>F32-J32-N32</f>
        <v>0</v>
      </c>
    </row>
    <row r="33" spans="1:18" s="112" customFormat="1" ht="16.5" customHeight="1">
      <c r="A33" s="100"/>
      <c r="B33" s="87" t="s">
        <v>176</v>
      </c>
      <c r="C33" s="107"/>
      <c r="D33" s="108"/>
      <c r="E33" s="109"/>
      <c r="F33" s="108"/>
      <c r="G33" s="110"/>
      <c r="H33" s="99"/>
      <c r="I33" s="110"/>
      <c r="J33" s="111"/>
      <c r="K33" s="110"/>
      <c r="L33" s="111"/>
      <c r="M33" s="110"/>
      <c r="N33" s="110"/>
      <c r="O33" s="111"/>
      <c r="P33" s="111"/>
      <c r="Q33" s="110"/>
      <c r="R33" s="111"/>
    </row>
    <row r="34" spans="1:18" s="112" customFormat="1" ht="16.5" customHeight="1">
      <c r="A34" s="94"/>
      <c r="B34" s="95" t="s">
        <v>177</v>
      </c>
      <c r="C34" s="96"/>
      <c r="D34" s="126"/>
      <c r="E34" s="127"/>
      <c r="F34" s="126"/>
      <c r="G34" s="128"/>
      <c r="H34" s="129"/>
      <c r="I34" s="128"/>
      <c r="J34" s="130"/>
      <c r="K34" s="128"/>
      <c r="L34" s="130"/>
      <c r="M34" s="128"/>
      <c r="N34" s="128"/>
      <c r="O34" s="130"/>
      <c r="P34" s="130"/>
      <c r="Q34" s="128"/>
      <c r="R34" s="130"/>
    </row>
    <row r="35" spans="1:19" s="112" customFormat="1" ht="19.5" customHeight="1">
      <c r="A35" s="118"/>
      <c r="B35" s="193" t="s">
        <v>178</v>
      </c>
      <c r="C35" s="141"/>
      <c r="D35" s="142"/>
      <c r="E35" s="143"/>
      <c r="F35" s="142"/>
      <c r="G35" s="144"/>
      <c r="H35" s="145"/>
      <c r="I35" s="144"/>
      <c r="J35" s="146"/>
      <c r="K35" s="144"/>
      <c r="L35" s="146"/>
      <c r="M35" s="144"/>
      <c r="N35" s="144"/>
      <c r="O35" s="146"/>
      <c r="P35" s="146"/>
      <c r="Q35" s="144"/>
      <c r="R35" s="146"/>
      <c r="S35" s="112">
        <v>2</v>
      </c>
    </row>
    <row r="36" spans="1:18" s="112" customFormat="1" ht="19.5" customHeight="1">
      <c r="A36" s="88" t="s">
        <v>150</v>
      </c>
      <c r="B36" s="87" t="s">
        <v>179</v>
      </c>
      <c r="C36" s="88" t="s">
        <v>158</v>
      </c>
      <c r="D36" s="117">
        <f>F36+E36</f>
        <v>2280920.25</v>
      </c>
      <c r="E36" s="98"/>
      <c r="F36" s="117">
        <f>2400000-119079.75</f>
        <v>2280920.25</v>
      </c>
      <c r="G36" s="92">
        <f>J36+I36</f>
        <v>2280443.06</v>
      </c>
      <c r="H36" s="99">
        <f>G36*100/D36</f>
        <v>99.97907905811262</v>
      </c>
      <c r="I36" s="91"/>
      <c r="J36" s="92">
        <f>42807.3+69997+132231+61813.6+39675+1917.4+83318.5+81498+38500+9612+27350+104744.4+20090+21060+45605.2+76500+225167.25+15870+55545+39393.8+3580+9045.2+164790+74986.65+38693.8+509812+18882.8+61100.9+26619+73130.81+63878.85+30459.6+240+12528</f>
        <v>2280443.06</v>
      </c>
      <c r="K36" s="91">
        <f>N36+M36</f>
        <v>-1.1496048557546601E-10</v>
      </c>
      <c r="L36" s="116">
        <f>K36*100/D36</f>
        <v>-5.040092286236926E-15</v>
      </c>
      <c r="M36" s="91"/>
      <c r="N36" s="91">
        <f>157998+1917.4-1917.4-81498+734979.25+18000+6640+89899+4934.2+5022.8-21060-45605.2-76500-225167.25+4934.2-39393.8-3580+33759.6-14768.4-88.6+6939.2-38693.8+50148.8-509812-26619-30459.6-9.4</f>
        <v>-1.1496048557546601E-10</v>
      </c>
      <c r="O36" s="92">
        <f>D36-G36-K36</f>
        <v>477.19000000005906</v>
      </c>
      <c r="P36" s="92">
        <f>O36*100/D36</f>
        <v>0.020920941887383353</v>
      </c>
      <c r="Q36" s="92">
        <f>E36-I36-M36</f>
        <v>0</v>
      </c>
      <c r="R36" s="92">
        <f>F36-J36-N36</f>
        <v>477.19000000005906</v>
      </c>
    </row>
    <row r="37" spans="1:18" s="112" customFormat="1" ht="19.5" customHeight="1">
      <c r="A37" s="100"/>
      <c r="B37" s="87" t="s">
        <v>180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 t="s">
        <v>239</v>
      </c>
      <c r="O37" s="111"/>
      <c r="P37" s="111"/>
      <c r="Q37" s="110"/>
      <c r="R37" s="111"/>
    </row>
    <row r="38" spans="1:18" s="112" customFormat="1" ht="19.5" customHeight="1">
      <c r="A38" s="100"/>
      <c r="B38" s="87" t="s">
        <v>152</v>
      </c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9.5" customHeight="1">
      <c r="A39" s="100"/>
      <c r="B39" s="86" t="s">
        <v>203</v>
      </c>
      <c r="C39" s="93"/>
      <c r="D39" s="170"/>
      <c r="E39" s="171"/>
      <c r="F39" s="170"/>
      <c r="G39" s="172"/>
      <c r="H39" s="173"/>
      <c r="I39" s="172"/>
      <c r="J39" s="174"/>
      <c r="K39" s="172"/>
      <c r="L39" s="174"/>
      <c r="M39" s="172"/>
      <c r="N39" s="172"/>
      <c r="O39" s="174"/>
      <c r="P39" s="174"/>
      <c r="Q39" s="172"/>
      <c r="R39" s="174"/>
    </row>
    <row r="40" spans="1:18" s="112" customFormat="1" ht="19.5" customHeight="1">
      <c r="A40" s="100">
        <v>1.9</v>
      </c>
      <c r="B40" s="87" t="s">
        <v>99</v>
      </c>
      <c r="C40" s="88" t="s">
        <v>183</v>
      </c>
      <c r="D40" s="117">
        <f>F40+E40</f>
        <v>994600</v>
      </c>
      <c r="E40" s="98">
        <f>1000000-5400</f>
        <v>994600</v>
      </c>
      <c r="F40" s="117"/>
      <c r="G40" s="92">
        <f>J40+I40</f>
        <v>994600</v>
      </c>
      <c r="H40" s="116">
        <f>G40*100/D40</f>
        <v>100</v>
      </c>
      <c r="I40" s="91">
        <f>99500+99900+99000+99000+99000+99300+99500+99800+99900+99700</f>
        <v>994600</v>
      </c>
      <c r="J40" s="92"/>
      <c r="K40" s="92">
        <f>N40+M40</f>
        <v>0</v>
      </c>
      <c r="L40" s="99">
        <f>K40*100/D40</f>
        <v>0</v>
      </c>
      <c r="M40" s="92">
        <f>99800+99900+99000+99500+99000+99000+99900+99300+99500+99700-99500-99900-99000-99000-99000-99300-99500-99800-99900-99700</f>
        <v>0</v>
      </c>
      <c r="N40" s="91"/>
      <c r="O40" s="92">
        <f>D40-G40-K40</f>
        <v>0</v>
      </c>
      <c r="P40" s="92">
        <f>O40*100/D40</f>
        <v>0</v>
      </c>
      <c r="Q40" s="200">
        <f>E40-I40-M40</f>
        <v>0</v>
      </c>
      <c r="R40" s="92">
        <f>F40-J40-N40</f>
        <v>0</v>
      </c>
    </row>
    <row r="41" spans="1:18" s="112" customFormat="1" ht="19.5" customHeight="1">
      <c r="A41" s="100"/>
      <c r="B41" s="87" t="s">
        <v>19</v>
      </c>
      <c r="C41" s="93"/>
      <c r="D41" s="170"/>
      <c r="E41" s="171"/>
      <c r="F41" s="170"/>
      <c r="G41" s="172"/>
      <c r="H41" s="173"/>
      <c r="I41" s="172"/>
      <c r="J41" s="174"/>
      <c r="K41" s="172"/>
      <c r="L41" s="174"/>
      <c r="M41" s="172"/>
      <c r="N41" s="172"/>
      <c r="O41" s="174"/>
      <c r="P41" s="174"/>
      <c r="Q41" s="172"/>
      <c r="R41" s="174"/>
    </row>
    <row r="42" spans="1:18" s="112" customFormat="1" ht="21.75" customHeight="1">
      <c r="A42" s="100"/>
      <c r="B42" s="86" t="s">
        <v>255</v>
      </c>
      <c r="C42" s="93"/>
      <c r="D42" s="170"/>
      <c r="E42" s="171"/>
      <c r="F42" s="170"/>
      <c r="G42" s="172"/>
      <c r="H42" s="173"/>
      <c r="I42" s="172"/>
      <c r="J42" s="174"/>
      <c r="K42" s="172"/>
      <c r="L42" s="174"/>
      <c r="M42" s="172"/>
      <c r="N42" s="172"/>
      <c r="O42" s="174"/>
      <c r="P42" s="174"/>
      <c r="Q42" s="172"/>
      <c r="R42" s="174"/>
    </row>
    <row r="43" spans="1:18" s="112" customFormat="1" ht="19.5" customHeight="1">
      <c r="A43" s="184">
        <v>1.1</v>
      </c>
      <c r="B43" s="87" t="s">
        <v>169</v>
      </c>
      <c r="C43" s="88" t="s">
        <v>254</v>
      </c>
      <c r="D43" s="117">
        <f>F43+E43</f>
        <v>1548775.44</v>
      </c>
      <c r="E43" s="98">
        <f>444300-1463.77</f>
        <v>442836.23</v>
      </c>
      <c r="F43" s="117">
        <f>1110700-4760.79</f>
        <v>1105939.21</v>
      </c>
      <c r="G43" s="92">
        <f>J43+I43</f>
        <v>1548775.44</v>
      </c>
      <c r="H43" s="116">
        <f>G43*100/D43</f>
        <v>100</v>
      </c>
      <c r="I43" s="91">
        <v>442836.23</v>
      </c>
      <c r="J43" s="92">
        <f>50780.8+29994.16+1040+289720+83189+78558.3+19002.6+400011+99141.35+9442.1+15870+6989.9+22200</f>
        <v>1105939.21</v>
      </c>
      <c r="K43" s="91">
        <f>N43+M43</f>
        <v>-7.275957614183426E-12</v>
      </c>
      <c r="L43" s="116">
        <f>K43*100/D43</f>
        <v>-4.697877707941589E-16</v>
      </c>
      <c r="M43" s="92"/>
      <c r="N43" s="91">
        <f>19002.6+13979.8+2452.2-19002.6-9442.1-6989.9</f>
        <v>-7.275957614183426E-12</v>
      </c>
      <c r="O43" s="92">
        <f>D43-G43-K43</f>
        <v>7.275957614183426E-12</v>
      </c>
      <c r="P43" s="92">
        <f>O43*100/D43</f>
        <v>4.697877707941589E-16</v>
      </c>
      <c r="Q43" s="200">
        <f>E43-I43-M43</f>
        <v>0</v>
      </c>
      <c r="R43" s="92">
        <f>F43-J43-N43</f>
        <v>7.275957614183426E-12</v>
      </c>
    </row>
    <row r="44" spans="1:18" s="112" customFormat="1" ht="19.5" customHeight="1">
      <c r="A44" s="100"/>
      <c r="B44" s="87" t="s">
        <v>181</v>
      </c>
      <c r="C44" s="93"/>
      <c r="D44" s="170"/>
      <c r="E44" s="171"/>
      <c r="F44" s="170"/>
      <c r="G44" s="172"/>
      <c r="H44" s="173"/>
      <c r="I44" s="172"/>
      <c r="J44" s="174"/>
      <c r="K44" s="172"/>
      <c r="L44" s="174"/>
      <c r="M44" s="172"/>
      <c r="N44" s="172"/>
      <c r="O44" s="174"/>
      <c r="P44" s="174"/>
      <c r="Q44" s="172"/>
      <c r="R44" s="174"/>
    </row>
    <row r="45" spans="1:18" s="112" customFormat="1" ht="19.5" customHeight="1">
      <c r="A45" s="85"/>
      <c r="B45" s="93" t="s">
        <v>182</v>
      </c>
      <c r="C45" s="93"/>
      <c r="D45" s="170"/>
      <c r="E45" s="171"/>
      <c r="F45" s="170"/>
      <c r="G45" s="172"/>
      <c r="H45" s="173"/>
      <c r="I45" s="172"/>
      <c r="J45" s="174"/>
      <c r="K45" s="172"/>
      <c r="L45" s="174"/>
      <c r="M45" s="172"/>
      <c r="N45" s="172"/>
      <c r="O45" s="174"/>
      <c r="P45" s="174"/>
      <c r="Q45" s="172"/>
      <c r="R45" s="174"/>
    </row>
    <row r="46" spans="1:18" s="112" customFormat="1" ht="19.5" customHeight="1">
      <c r="A46" s="100"/>
      <c r="B46" s="86" t="s">
        <v>184</v>
      </c>
      <c r="C46" s="93"/>
      <c r="D46" s="170"/>
      <c r="E46" s="171"/>
      <c r="F46" s="170"/>
      <c r="G46" s="172"/>
      <c r="H46" s="173"/>
      <c r="I46" s="172"/>
      <c r="J46" s="174"/>
      <c r="K46" s="172"/>
      <c r="L46" s="174"/>
      <c r="M46" s="172"/>
      <c r="N46" s="172"/>
      <c r="O46" s="174"/>
      <c r="P46" s="174"/>
      <c r="Q46" s="172"/>
      <c r="R46" s="174"/>
    </row>
    <row r="47" spans="1:18" s="112" customFormat="1" ht="20.25" customHeight="1">
      <c r="A47" s="184">
        <v>1.11</v>
      </c>
      <c r="B47" s="87" t="s">
        <v>185</v>
      </c>
      <c r="C47" s="88" t="s">
        <v>183</v>
      </c>
      <c r="D47" s="117">
        <f>F47+E47</f>
        <v>4301727.57</v>
      </c>
      <c r="E47" s="98">
        <f>494485-0.05</f>
        <v>494484.95</v>
      </c>
      <c r="F47" s="117">
        <f>4085412+14835-291957-1047.38</f>
        <v>3807242.62</v>
      </c>
      <c r="G47" s="92">
        <f>J47+I47</f>
        <v>4301727.57</v>
      </c>
      <c r="H47" s="116">
        <f>G47*100/D47</f>
        <v>100</v>
      </c>
      <c r="I47" s="91">
        <v>494484.95</v>
      </c>
      <c r="J47" s="92">
        <f>273070.18+199910+122201.8+8800+12240+224959.95+10200+82000+27350+261861+1059472+24800+152359.4+38216.6+425010.95+21222+158305.15+456243+64666.1+92632.34+9441.4+3469.6+2080+9870.1+3469.6+19997+8583+3469.6+3884.1+23793+3664.75</f>
        <v>3807242.62</v>
      </c>
      <c r="K47" s="91">
        <f>N47+M47</f>
        <v>-1.9099388737231493E-11</v>
      </c>
      <c r="L47" s="116">
        <f>K47*100/D47</f>
        <v>-4.439934520825895E-16</v>
      </c>
      <c r="M47" s="92"/>
      <c r="N47" s="91">
        <f>12240+19000-8800-12240+456243+24800-10200-24800+40228-38216.6-2011.4+64666.1-456243+10408.8-64666.1-3469.6-3469.6-3469.6</f>
        <v>-1.9099388737231493E-11</v>
      </c>
      <c r="O47" s="92">
        <f>D47-G47-K47</f>
        <v>1.9099388737231493E-11</v>
      </c>
      <c r="P47" s="92">
        <f>O47*100/D47</f>
        <v>4.439934520825895E-16</v>
      </c>
      <c r="Q47" s="92">
        <f>E47-I47-M47</f>
        <v>0</v>
      </c>
      <c r="R47" s="92">
        <f>F47-J47-N47</f>
        <v>1.9099388737231493E-11</v>
      </c>
    </row>
    <row r="48" spans="1:18" s="112" customFormat="1" ht="19.5" customHeight="1">
      <c r="A48" s="100"/>
      <c r="B48" s="87" t="s">
        <v>186</v>
      </c>
      <c r="C48" s="93"/>
      <c r="D48" s="170"/>
      <c r="E48" s="171"/>
      <c r="F48" s="170"/>
      <c r="G48" s="172"/>
      <c r="H48" s="173"/>
      <c r="I48" s="172"/>
      <c r="J48" s="174"/>
      <c r="K48" s="172"/>
      <c r="L48" s="174"/>
      <c r="M48" s="172"/>
      <c r="N48" s="172"/>
      <c r="O48" s="174"/>
      <c r="P48" s="174"/>
      <c r="Q48" s="172"/>
      <c r="R48" s="174"/>
    </row>
    <row r="49" spans="1:18" s="112" customFormat="1" ht="17.25" customHeight="1">
      <c r="A49" s="85"/>
      <c r="B49" s="93" t="s">
        <v>187</v>
      </c>
      <c r="C49" s="93"/>
      <c r="D49" s="170"/>
      <c r="E49" s="171"/>
      <c r="F49" s="170"/>
      <c r="G49" s="172"/>
      <c r="H49" s="173"/>
      <c r="I49" s="172"/>
      <c r="J49" s="174"/>
      <c r="K49" s="172"/>
      <c r="L49" s="174"/>
      <c r="M49" s="172"/>
      <c r="N49" s="172"/>
      <c r="O49" s="174"/>
      <c r="P49" s="174"/>
      <c r="Q49" s="172"/>
      <c r="R49" s="174"/>
    </row>
    <row r="50" spans="1:18" s="112" customFormat="1" ht="16.5" customHeight="1">
      <c r="A50" s="100"/>
      <c r="B50" s="86" t="s">
        <v>231</v>
      </c>
      <c r="C50" s="93"/>
      <c r="D50" s="170"/>
      <c r="E50" s="171"/>
      <c r="F50" s="170"/>
      <c r="G50" s="172"/>
      <c r="H50" s="173"/>
      <c r="I50" s="172"/>
      <c r="J50" s="174"/>
      <c r="K50" s="172"/>
      <c r="L50" s="174"/>
      <c r="M50" s="172"/>
      <c r="N50" s="172"/>
      <c r="O50" s="174"/>
      <c r="P50" s="174"/>
      <c r="Q50" s="172"/>
      <c r="R50" s="174"/>
    </row>
    <row r="51" spans="1:18" s="112" customFormat="1" ht="19.5" customHeight="1">
      <c r="A51" s="184">
        <v>1.12</v>
      </c>
      <c r="B51" s="87" t="s">
        <v>232</v>
      </c>
      <c r="C51" s="88" t="s">
        <v>234</v>
      </c>
      <c r="D51" s="117">
        <f>F51+E51</f>
        <v>5242000</v>
      </c>
      <c r="E51" s="98"/>
      <c r="F51" s="117">
        <f>3999150+1242850</f>
        <v>5242000</v>
      </c>
      <c r="G51" s="92">
        <f>J51+I51</f>
        <v>5240346.350000001</v>
      </c>
      <c r="H51" s="99">
        <f>G51*100/D51</f>
        <v>99.96845383441436</v>
      </c>
      <c r="I51" s="91"/>
      <c r="J51" s="92">
        <f>208296.25+33500+434051.9+83327+182756.15+63480+41624.5+21320+258570.35+41624.5+28760+38805.2+10645+14155+175286.7+247179.55+51767.5+20000+190444+232849.8+37834.6+2860+9420+41291.2+3132+26310+9060+404900.3+6560+62341.3+22000+4500+42925+99849+99270+42690+10645+2850+127757.7+373351.85+59259.6+3260+7210+3350+465709.9+22030+8331.85+3360+92197.7+52860+5292+5700+263329.55+174570+87496.4+17100+126475+4343+30480</f>
        <v>5240346.350000001</v>
      </c>
      <c r="K51" s="91">
        <f>N51+M51</f>
        <v>0</v>
      </c>
      <c r="L51" s="116">
        <f>K51*100/D51</f>
        <v>0</v>
      </c>
      <c r="M51" s="92"/>
      <c r="N51" s="91">
        <f>6104.4+77144.6+50080-41624.5-21320+38898+22000-41624.5-28760-38805.2+10764.9-92.8+19002.6+10764.9+22000+6960+67519.2-51767.5+21402.6-37834.6-2860+22000+10769-41291.2+19191.2-2111.4+12268.4+500+52005.2+10400+42026.7-62341.3+66000+7389.9-22000-4500-100-20336.8+26500+30938.1-59259.6-3260+13457-26500+27136.8-3360-92197.7-3780-87496.4</f>
        <v>0</v>
      </c>
      <c r="O51" s="92">
        <f>D51-G51-K51</f>
        <v>1653.6499999994412</v>
      </c>
      <c r="P51" s="92">
        <f>O51*100/D51</f>
        <v>0.03154616558564367</v>
      </c>
      <c r="Q51" s="92">
        <f>E51-I51-M51</f>
        <v>0</v>
      </c>
      <c r="R51" s="92">
        <f>F51-J51-N51</f>
        <v>1653.6499999994412</v>
      </c>
    </row>
    <row r="52" spans="1:18" s="112" customFormat="1" ht="19.5" customHeight="1">
      <c r="A52" s="100"/>
      <c r="B52" s="87" t="s">
        <v>233</v>
      </c>
      <c r="C52" s="93"/>
      <c r="D52" s="170"/>
      <c r="E52" s="171"/>
      <c r="F52" s="170"/>
      <c r="G52" s="172"/>
      <c r="H52" s="173"/>
      <c r="I52" s="172"/>
      <c r="J52" s="174"/>
      <c r="K52" s="172"/>
      <c r="L52" s="174"/>
      <c r="M52" s="172"/>
      <c r="N52" s="172"/>
      <c r="O52" s="174"/>
      <c r="P52" s="174"/>
      <c r="Q52" s="172"/>
      <c r="R52" s="174"/>
    </row>
    <row r="53" spans="1:18" s="112" customFormat="1" ht="16.5" customHeight="1">
      <c r="A53" s="100"/>
      <c r="B53" s="86" t="s">
        <v>235</v>
      </c>
      <c r="C53" s="93"/>
      <c r="D53" s="170"/>
      <c r="E53" s="171"/>
      <c r="F53" s="170"/>
      <c r="G53" s="172"/>
      <c r="H53" s="173"/>
      <c r="I53" s="172"/>
      <c r="J53" s="174"/>
      <c r="K53" s="172"/>
      <c r="L53" s="174"/>
      <c r="M53" s="172"/>
      <c r="N53" s="172"/>
      <c r="O53" s="174"/>
      <c r="P53" s="174"/>
      <c r="Q53" s="172"/>
      <c r="R53" s="174"/>
    </row>
    <row r="54" spans="1:18" s="112" customFormat="1" ht="19.5" customHeight="1">
      <c r="A54" s="184">
        <v>1.13</v>
      </c>
      <c r="B54" s="87" t="s">
        <v>236</v>
      </c>
      <c r="C54" s="88" t="s">
        <v>234</v>
      </c>
      <c r="D54" s="117">
        <f>F54+E54</f>
        <v>565000</v>
      </c>
      <c r="E54" s="98"/>
      <c r="F54" s="117">
        <v>565000</v>
      </c>
      <c r="G54" s="92">
        <f>J54+I54</f>
        <v>564905.4299999999</v>
      </c>
      <c r="H54" s="99">
        <f>G54*100/D54</f>
        <v>99.98326194690264</v>
      </c>
      <c r="I54" s="91"/>
      <c r="J54" s="92">
        <f>56100+27350+18000+18000+18000+35000+56900+81570+35000+64820+24500+43065.43+86600</f>
        <v>564905.4299999999</v>
      </c>
      <c r="K54" s="91">
        <f>N54+M54</f>
        <v>0</v>
      </c>
      <c r="L54" s="116">
        <f>K54*100/D54</f>
        <v>0</v>
      </c>
      <c r="M54" s="92"/>
      <c r="N54" s="91">
        <f>18000+18000-18000+18000-18000+10500+21000-18000+14000+10500+21000-35000+15820+42000+11340+21000+26460-35000+26500+15120+10680-64820-24500-86600</f>
        <v>0</v>
      </c>
      <c r="O54" s="92">
        <f>D54-G54-K54</f>
        <v>94.57000000006519</v>
      </c>
      <c r="P54" s="92">
        <f>O54*100/D54</f>
        <v>0.01673805309735667</v>
      </c>
      <c r="Q54" s="92">
        <f>E54-I54-M54</f>
        <v>0</v>
      </c>
      <c r="R54" s="92">
        <f>F54-J54-N54</f>
        <v>94.57000000006519</v>
      </c>
    </row>
    <row r="55" spans="1:18" s="112" customFormat="1" ht="19.5" customHeight="1">
      <c r="A55" s="100"/>
      <c r="B55" s="87" t="s">
        <v>229</v>
      </c>
      <c r="C55" s="93"/>
      <c r="D55" s="170"/>
      <c r="E55" s="171"/>
      <c r="F55" s="170"/>
      <c r="G55" s="172"/>
      <c r="H55" s="173"/>
      <c r="I55" s="172"/>
      <c r="J55" s="174"/>
      <c r="K55" s="172"/>
      <c r="L55" s="174"/>
      <c r="M55" s="172"/>
      <c r="N55" s="172"/>
      <c r="O55" s="174"/>
      <c r="P55" s="174"/>
      <c r="Q55" s="172"/>
      <c r="R55" s="174"/>
    </row>
    <row r="56" spans="1:18" s="112" customFormat="1" ht="19.5" customHeight="1">
      <c r="A56" s="100"/>
      <c r="B56" s="86" t="s">
        <v>256</v>
      </c>
      <c r="C56" s="93"/>
      <c r="D56" s="170"/>
      <c r="E56" s="171"/>
      <c r="F56" s="170"/>
      <c r="G56" s="172"/>
      <c r="H56" s="173"/>
      <c r="I56" s="172"/>
      <c r="J56" s="174"/>
      <c r="K56" s="172"/>
      <c r="L56" s="174"/>
      <c r="M56" s="172"/>
      <c r="N56" s="172"/>
      <c r="O56" s="174"/>
      <c r="P56" s="174"/>
      <c r="Q56" s="172"/>
      <c r="R56" s="174"/>
    </row>
    <row r="57" spans="1:18" s="112" customFormat="1" ht="19.5" customHeight="1">
      <c r="A57" s="184">
        <v>1.14</v>
      </c>
      <c r="B57" s="87" t="s">
        <v>257</v>
      </c>
      <c r="C57" s="203" t="s">
        <v>259</v>
      </c>
      <c r="D57" s="117">
        <f>F57+E57</f>
        <v>1513928</v>
      </c>
      <c r="E57" s="98">
        <v>1469928</v>
      </c>
      <c r="F57" s="117">
        <v>44000</v>
      </c>
      <c r="G57" s="92">
        <f>J57+I57</f>
        <v>1513907.55</v>
      </c>
      <c r="H57" s="116">
        <f>G57*100/D57</f>
        <v>99.99864920920942</v>
      </c>
      <c r="I57" s="200">
        <v>1469927.95</v>
      </c>
      <c r="J57" s="92">
        <f>22614.45+11468.4+3000+6896.75</f>
        <v>43979.6</v>
      </c>
      <c r="K57" s="91">
        <f>N57+M57</f>
        <v>0</v>
      </c>
      <c r="L57" s="116">
        <f>K57*100/D57</f>
        <v>0</v>
      </c>
      <c r="M57" s="200">
        <f>1469927.95-1469927.95</f>
        <v>0</v>
      </c>
      <c r="N57" s="91">
        <f>11468.4-11468.4</f>
        <v>0</v>
      </c>
      <c r="O57" s="92">
        <f>D57-G57-K57</f>
        <v>20.449999999953434</v>
      </c>
      <c r="P57" s="92">
        <f>O57*100/D57</f>
        <v>0.0013507907905761327</v>
      </c>
      <c r="Q57" s="200">
        <f>E57-I57-M57</f>
        <v>0.05000000004656613</v>
      </c>
      <c r="R57" s="92">
        <f>F57-J57-N57</f>
        <v>20.400000000001455</v>
      </c>
    </row>
    <row r="58" spans="1:18" s="112" customFormat="1" ht="19.5" customHeight="1">
      <c r="A58" s="100"/>
      <c r="B58" s="87" t="s">
        <v>258</v>
      </c>
      <c r="C58" s="93"/>
      <c r="D58" s="170"/>
      <c r="E58" s="171"/>
      <c r="F58" s="170"/>
      <c r="G58" s="172"/>
      <c r="H58" s="173"/>
      <c r="I58" s="172"/>
      <c r="J58" s="174"/>
      <c r="K58" s="172"/>
      <c r="L58" s="174"/>
      <c r="M58" s="172"/>
      <c r="N58" s="172"/>
      <c r="O58" s="174"/>
      <c r="P58" s="174"/>
      <c r="Q58" s="172"/>
      <c r="R58" s="174"/>
    </row>
    <row r="59" spans="1:18" s="112" customFormat="1" ht="17.25" customHeight="1">
      <c r="A59" s="100"/>
      <c r="B59" s="101" t="s">
        <v>54</v>
      </c>
      <c r="C59" s="119"/>
      <c r="D59" s="159">
        <f>F59+E59</f>
        <v>29469462.27</v>
      </c>
      <c r="E59" s="202">
        <f>E7+E11+E15+E20+E24+E28+E32+E36+E40+E43+E47+E51+E54+E57</f>
        <v>3401849.1799999997</v>
      </c>
      <c r="F59" s="159">
        <f>F7+F11+F15+F20+F24+F28+F32+F36+F40+F43+F47+F51+F54+F57</f>
        <v>26067613.09</v>
      </c>
      <c r="G59" s="161">
        <f>J59+I59</f>
        <v>29456183.080000002</v>
      </c>
      <c r="H59" s="105">
        <f>G59*100/D59</f>
        <v>99.95493915064233</v>
      </c>
      <c r="I59" s="201">
        <f>I7+I11+I15+I20+I24+I28+I32+I36+I40+I43+I47+I51+I54+I57</f>
        <v>3401849.13</v>
      </c>
      <c r="J59" s="105">
        <f>J7+J11+J15+J20+J24+J28+J32+J36+J40+J43+J47+J51+J54+J57</f>
        <v>26054333.950000003</v>
      </c>
      <c r="K59" s="161">
        <f>N59+M59</f>
        <v>-2.0100010544865654E-10</v>
      </c>
      <c r="L59" s="105">
        <f>K59*100/D59</f>
        <v>-6.820623451052083E-16</v>
      </c>
      <c r="M59" s="201">
        <f>M7+M11+M15+M20+M24+M28+M32+M36+M40+M43+M47+M51+M54+M57</f>
        <v>0</v>
      </c>
      <c r="N59" s="161">
        <f>N7+N11+N15+N20+N24+N28+N32+N36+N40+N43+N47+N51+N54+N57</f>
        <v>-2.0100010544865654E-10</v>
      </c>
      <c r="O59" s="105">
        <f>D59-G59-K59</f>
        <v>13279.189999997818</v>
      </c>
      <c r="P59" s="105">
        <f>O59*100/D59</f>
        <v>0.04506084935766227</v>
      </c>
      <c r="Q59" s="201">
        <f>E59-I59-M59</f>
        <v>0.049999999813735485</v>
      </c>
      <c r="R59" s="114">
        <f>F59-J59-N59</f>
        <v>13279.139999997073</v>
      </c>
    </row>
    <row r="60" spans="1:18" s="112" customFormat="1" ht="17.25" customHeight="1">
      <c r="A60" s="192" t="s">
        <v>230</v>
      </c>
      <c r="B60" s="97" t="s">
        <v>222</v>
      </c>
      <c r="C60" s="185"/>
      <c r="D60" s="186"/>
      <c r="E60" s="187"/>
      <c r="F60" s="186"/>
      <c r="G60" s="188"/>
      <c r="H60" s="189"/>
      <c r="I60" s="188"/>
      <c r="J60" s="190"/>
      <c r="K60" s="188"/>
      <c r="L60" s="190"/>
      <c r="M60" s="188"/>
      <c r="N60" s="188"/>
      <c r="O60" s="190"/>
      <c r="P60" s="190"/>
      <c r="Q60" s="188"/>
      <c r="R60" s="190"/>
    </row>
    <row r="61" spans="1:18" s="112" customFormat="1" ht="17.25" customHeight="1">
      <c r="A61" s="183">
        <v>1.1</v>
      </c>
      <c r="B61" s="87" t="s">
        <v>188</v>
      </c>
      <c r="C61" s="88" t="s">
        <v>158</v>
      </c>
      <c r="D61" s="117">
        <f>F61+E61</f>
        <v>12323208.25</v>
      </c>
      <c r="E61" s="98"/>
      <c r="F61" s="117">
        <f>13470000-1146791.75</f>
        <v>12323208.25</v>
      </c>
      <c r="G61" s="92">
        <f>J61+I61</f>
        <v>12292523.94</v>
      </c>
      <c r="H61" s="99">
        <f>G61*100/D61</f>
        <v>99.7510038832623</v>
      </c>
      <c r="I61" s="91"/>
      <c r="J61" s="92">
        <f>82440+147991.05+20269.7+40469.7+5000+7880+211868.9+49406.5+18000+54753.3+53380+52296.4+63878.85+111090+9000+61609.1+254449+84870+116645.9+66899+34240+1555143+296775.8+393015+109348.5+1276000+165004.45+173385.45+172026+3469.6+14277+85170+294243+98695+145270+1200012.5+172026+3469.6+145270+32800+699187.5+61920+53910.45+319394.25+188941.85+147260+837936.25+12202+251835+376442.65+53380+192862.15+3469.6+61383.14+3120+390689.4+192304.4+105560+68900+106760+56500+24069+202658</f>
        <v>12292523.94</v>
      </c>
      <c r="K61" s="91">
        <f>N61+M61</f>
        <v>7.275957614183426E-10</v>
      </c>
      <c r="L61" s="116">
        <f>K61*100/D61</f>
        <v>5.904272220818329E-15</v>
      </c>
      <c r="M61" s="91"/>
      <c r="N61" s="91">
        <f>10000+40539.4-20269.7-5000+18000+24136.8+24136.8+28159.6-49406.5-18000+6213129.25+9000+26403.9+35205.2-52296.4+28671+38228-9000-61609.1-66899+40094.45+69254.05+437800-1555143+81234.5+90791.5+17348-393015-109348.5-1276000+90791.5+81234.5-172026-3469.6-145270-1200012.5+87657.95+5000+97970.65-172026-3469.6-145270-699187.5+10000+92814.3+87657.95-188941.85+13501.95-147260-5156.35-837936.25+81410.4+13568.4+72364.8-251835+16491.2-192862.15-3469.6-6112.05-192304.4</f>
        <v>7.275957614183426E-10</v>
      </c>
      <c r="O61" s="92">
        <f>D61-G61-K61</f>
        <v>30684.309999999794</v>
      </c>
      <c r="P61" s="92">
        <f>O61*100/D61</f>
        <v>0.24899611673769934</v>
      </c>
      <c r="Q61" s="92">
        <f>E61-I61-M61</f>
        <v>0</v>
      </c>
      <c r="R61" s="92">
        <f>F61-J61-N61</f>
        <v>30684.309999999794</v>
      </c>
    </row>
    <row r="62" spans="1:18" s="112" customFormat="1" ht="18.75" customHeight="1">
      <c r="A62" s="100"/>
      <c r="B62" s="87" t="s">
        <v>53</v>
      </c>
      <c r="C62" s="93"/>
      <c r="D62" s="170"/>
      <c r="E62" s="171"/>
      <c r="F62" s="170"/>
      <c r="G62" s="172"/>
      <c r="H62" s="173"/>
      <c r="I62" s="172"/>
      <c r="J62" s="174"/>
      <c r="K62" s="172"/>
      <c r="L62" s="174"/>
      <c r="M62" s="172"/>
      <c r="N62" s="172"/>
      <c r="O62" s="174"/>
      <c r="P62" s="174"/>
      <c r="Q62" s="172"/>
      <c r="R62" s="174"/>
    </row>
    <row r="63" spans="1:18" s="112" customFormat="1" ht="16.5" customHeight="1">
      <c r="A63" s="100"/>
      <c r="B63" s="86" t="s">
        <v>189</v>
      </c>
      <c r="C63" s="93"/>
      <c r="D63" s="170"/>
      <c r="E63" s="171"/>
      <c r="F63" s="170"/>
      <c r="G63" s="172"/>
      <c r="H63" s="173"/>
      <c r="I63" s="172"/>
      <c r="J63" s="174"/>
      <c r="K63" s="172"/>
      <c r="L63" s="174"/>
      <c r="M63" s="172"/>
      <c r="N63" s="172"/>
      <c r="O63" s="174"/>
      <c r="P63" s="174"/>
      <c r="Q63" s="172"/>
      <c r="R63" s="174"/>
    </row>
    <row r="64" spans="1:18" s="112" customFormat="1" ht="17.25" customHeight="1">
      <c r="A64" s="183">
        <v>1.2</v>
      </c>
      <c r="B64" s="87" t="s">
        <v>190</v>
      </c>
      <c r="C64" s="88" t="s">
        <v>158</v>
      </c>
      <c r="D64" s="117">
        <f>F64+E64</f>
        <v>13438204.94</v>
      </c>
      <c r="E64" s="98"/>
      <c r="F64" s="117">
        <f>14450000-1011795.06</f>
        <v>13438204.94</v>
      </c>
      <c r="G64" s="92">
        <f>J64+I64</f>
        <v>13433856.92</v>
      </c>
      <c r="H64" s="99">
        <f>G64*100/D64</f>
        <v>99.9676443392595</v>
      </c>
      <c r="I64" s="91"/>
      <c r="J64" s="92">
        <f>43643.5+17160+128152.55+55074.9+24000+372945+104013+171397.2+6189+96735+779620.25+24800+282931.5+18740+400645.5+23740+184958.6+80070+64128+31746.6+227734+67334.65+31746.6+1761693.14+14721+420876.85+223198+23880+7538.15+452656.7+220886.6+29233+86370+93095+398594.41+230329.3+54180+1482717.84+1283224.78+2567.1+127816.6+119400+611913.91+53580+9109+9125.55+168573.1+53980+79600+61167.3+23200+766268.86+124000+7020+123074+132355.9+53380+32301.36+64900+3422.8+128400+3120+47320+115863.42+118005.6+3422.8+105560+106760+106760+51189</f>
        <v>13433856.92</v>
      </c>
      <c r="K64" s="91">
        <f>N64+M64</f>
        <v>1.3851604308001697E-09</v>
      </c>
      <c r="L64" s="116">
        <f>K64*100/D64</f>
        <v>1.0307629902838569E-14</v>
      </c>
      <c r="M64" s="91"/>
      <c r="N64" s="91">
        <f>40739.4+17160+24000+25000+104013-17160-55074.9-24000-104013+24800+18740+47985+225445.2+23740-24800-282931.5-18740+189737.1-1055.7+6428412.94+31746.6-23740-184958.6-4778.5-107.5-31746.6+31746.6+3780+20100-31746.6+223198+199000-1761693.14+223653.7-223198-23880-220886.6+137885-2767.1+2567.1-398594.41-1482717.84-1283224.78+23200+2567.1+64123-2567.1-127816.6-119400-611913.91-10068.4+128400+6845.6-79600-61167.3-23200-5522.8-766268.86-124000-3422.8-128400-3422.8</f>
        <v>1.3851604308001697E-09</v>
      </c>
      <c r="O64" s="92">
        <f>D64-G64-K64</f>
        <v>4348.019999998168</v>
      </c>
      <c r="P64" s="92">
        <f>O64*100/D64</f>
        <v>0.03235566074049</v>
      </c>
      <c r="Q64" s="92">
        <f>E64-I64-M64</f>
        <v>0</v>
      </c>
      <c r="R64" s="92">
        <f>F64-J64-N64</f>
        <v>4348.019999998168</v>
      </c>
    </row>
    <row r="65" spans="1:18" s="112" customFormat="1" ht="19.5" customHeight="1">
      <c r="A65" s="94"/>
      <c r="B65" s="95" t="s">
        <v>53</v>
      </c>
      <c r="C65" s="96"/>
      <c r="D65" s="126"/>
      <c r="E65" s="127"/>
      <c r="F65" s="126"/>
      <c r="G65" s="128"/>
      <c r="H65" s="129"/>
      <c r="I65" s="128"/>
      <c r="J65" s="130"/>
      <c r="K65" s="128"/>
      <c r="L65" s="130"/>
      <c r="M65" s="128"/>
      <c r="N65" s="128"/>
      <c r="O65" s="130"/>
      <c r="P65" s="130"/>
      <c r="Q65" s="128"/>
      <c r="R65" s="130"/>
    </row>
    <row r="66" spans="1:18" s="112" customFormat="1" ht="18" customHeight="1">
      <c r="A66" s="118"/>
      <c r="B66" s="193" t="s">
        <v>191</v>
      </c>
      <c r="C66" s="194"/>
      <c r="D66" s="195"/>
      <c r="E66" s="196"/>
      <c r="F66" s="195"/>
      <c r="G66" s="197"/>
      <c r="H66" s="198"/>
      <c r="I66" s="197"/>
      <c r="J66" s="199"/>
      <c r="K66" s="197"/>
      <c r="L66" s="199"/>
      <c r="M66" s="197"/>
      <c r="N66" s="197"/>
      <c r="O66" s="199"/>
      <c r="P66" s="199"/>
      <c r="Q66" s="197"/>
      <c r="R66" s="199"/>
    </row>
    <row r="67" spans="1:18" s="112" customFormat="1" ht="18" customHeight="1">
      <c r="A67" s="183">
        <v>1.3</v>
      </c>
      <c r="B67" s="87" t="s">
        <v>192</v>
      </c>
      <c r="C67" s="88" t="s">
        <v>158</v>
      </c>
      <c r="D67" s="117">
        <f>F67+E67</f>
        <v>772632.62</v>
      </c>
      <c r="E67" s="98"/>
      <c r="F67" s="117">
        <f>800000-23000-4367.38</f>
        <v>772632.62</v>
      </c>
      <c r="G67" s="92">
        <f>J67+I67</f>
        <v>772632.6199999999</v>
      </c>
      <c r="H67" s="116">
        <f>G67*100/D67</f>
        <v>99.99999999999999</v>
      </c>
      <c r="I67" s="91"/>
      <c r="J67" s="92">
        <f>20000+45131.92+4456+2084+6515+173387+7908+37800+31740+21114+33327.4+23959.6+29450+161040+43643.5+10531.45+24792.5+9420+45627.75+19692.5+11870+3670+5472</f>
        <v>772632.6199999999</v>
      </c>
      <c r="K67" s="91">
        <f>N67+M67</f>
        <v>0</v>
      </c>
      <c r="L67" s="116">
        <f>K67*100/D67</f>
        <v>0</v>
      </c>
      <c r="M67" s="91"/>
      <c r="N67" s="91">
        <f>161040+92013-21114+9420-23959.6+6989.9-161040+22092.5-24792.5-9420-29136.8-2400-19692.5</f>
        <v>0</v>
      </c>
      <c r="O67" s="92">
        <f>D67-G67-K67</f>
        <v>1.1641532182693481E-10</v>
      </c>
      <c r="P67" s="92">
        <f>O67*100/D67</f>
        <v>1.5067357863681035E-14</v>
      </c>
      <c r="Q67" s="92">
        <f>E67-I67-M67</f>
        <v>0</v>
      </c>
      <c r="R67" s="92">
        <f>F67-J67-N67</f>
        <v>1.1641532182693481E-10</v>
      </c>
    </row>
    <row r="68" spans="1:18" s="112" customFormat="1" ht="18" customHeight="1">
      <c r="A68" s="100"/>
      <c r="B68" s="87" t="s">
        <v>193</v>
      </c>
      <c r="C68" s="93"/>
      <c r="D68" s="170"/>
      <c r="E68" s="171"/>
      <c r="F68" s="170"/>
      <c r="G68" s="172"/>
      <c r="H68" s="173"/>
      <c r="I68" s="172"/>
      <c r="J68" s="174"/>
      <c r="K68" s="172"/>
      <c r="L68" s="174"/>
      <c r="M68" s="172"/>
      <c r="N68" s="172"/>
      <c r="O68" s="174"/>
      <c r="P68" s="174"/>
      <c r="Q68" s="172"/>
      <c r="R68" s="174"/>
    </row>
    <row r="69" spans="1:18" s="112" customFormat="1" ht="18" customHeight="1">
      <c r="A69" s="100"/>
      <c r="B69" s="87" t="s">
        <v>53</v>
      </c>
      <c r="C69" s="93"/>
      <c r="D69" s="170"/>
      <c r="E69" s="171"/>
      <c r="F69" s="170"/>
      <c r="G69" s="172"/>
      <c r="H69" s="173"/>
      <c r="I69" s="172"/>
      <c r="J69" s="174"/>
      <c r="K69" s="172"/>
      <c r="L69" s="174"/>
      <c r="M69" s="172"/>
      <c r="N69" s="172"/>
      <c r="O69" s="174"/>
      <c r="P69" s="174"/>
      <c r="Q69" s="172"/>
      <c r="R69" s="174"/>
    </row>
    <row r="70" spans="1:18" s="112" customFormat="1" ht="18" customHeight="1">
      <c r="A70" s="100"/>
      <c r="B70" s="86" t="s">
        <v>194</v>
      </c>
      <c r="C70" s="88"/>
      <c r="D70" s="117"/>
      <c r="E70" s="98"/>
      <c r="F70" s="117"/>
      <c r="G70" s="92"/>
      <c r="H70" s="99"/>
      <c r="I70" s="91"/>
      <c r="J70" s="92"/>
      <c r="K70" s="91"/>
      <c r="L70" s="116"/>
      <c r="M70" s="91"/>
      <c r="N70" s="91"/>
      <c r="O70" s="92"/>
      <c r="P70" s="92"/>
      <c r="Q70" s="92"/>
      <c r="R70" s="92"/>
    </row>
    <row r="71" spans="1:18" s="112" customFormat="1" ht="18" customHeight="1">
      <c r="A71" s="183">
        <v>1.4</v>
      </c>
      <c r="B71" s="87" t="s">
        <v>195</v>
      </c>
      <c r="C71" s="88" t="s">
        <v>158</v>
      </c>
      <c r="D71" s="117">
        <f>F71+E71</f>
        <v>4431408</v>
      </c>
      <c r="E71" s="98"/>
      <c r="F71" s="117">
        <f>5150000-718592</f>
        <v>4431408</v>
      </c>
      <c r="G71" s="92">
        <f>J71+I71</f>
        <v>4431199.03</v>
      </c>
      <c r="H71" s="116">
        <f>G71*100/D71</f>
        <v>99.995284343035</v>
      </c>
      <c r="I71" s="91"/>
      <c r="J71" s="92">
        <f>4456+236325.5+57515+105707.25+27000+42312.5+2634.8+1040+39435+167699.4+23806+17149+84463.9+96516+41104.2+686020+101341.9+27135.8+13968.4+2080+230300+24655+143544.7+4627.57+78275.9+444433+146753.35+76764.5+18000+201400+75996.65+54180+48093.5+537000+87900+53580+5110+18251.1+84410.75+53980+42965.3+1520+75300.5+29780+44176.86+72489.7</f>
        <v>4431199.03</v>
      </c>
      <c r="K71" s="91">
        <f>N71+M71</f>
        <v>-7.275957614183426E-11</v>
      </c>
      <c r="L71" s="116">
        <f>K71*100/D71</f>
        <v>-1.6419065033468879E-15</v>
      </c>
      <c r="M71" s="91"/>
      <c r="N71" s="91">
        <f>9000+18000+44523.9+11739.2+68416.4-27000-42312.5-2634.8+2099153+13968.4-2211.4+24201-84463.9+13968.4-1055.7+13968.4-41104.2+24201-686020-27135.8+81543-13968.4-230300+18000+76764.5-78275.9-444433-3267.1-76764.5-18000+48093.5-201400+6989.9+35975.4-48093.5-537000-42965.3-100</f>
        <v>-7.275957614183426E-11</v>
      </c>
      <c r="O71" s="92">
        <f>D71-G71-K71</f>
        <v>208.969999999812</v>
      </c>
      <c r="P71" s="92">
        <f>O71*100/D71</f>
        <v>0.004715656965005524</v>
      </c>
      <c r="Q71" s="92">
        <f>E71-I71-M71</f>
        <v>0</v>
      </c>
      <c r="R71" s="92">
        <f>F71-J71-N71</f>
        <v>208.969999999812</v>
      </c>
    </row>
    <row r="72" spans="1:18" s="112" customFormat="1" ht="18" customHeight="1">
      <c r="A72" s="100"/>
      <c r="B72" s="87" t="s">
        <v>196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9" s="112" customFormat="1" ht="18" customHeight="1">
      <c r="A73" s="100"/>
      <c r="B73" s="86" t="s">
        <v>197</v>
      </c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  <c r="S73" s="112">
        <v>3</v>
      </c>
    </row>
    <row r="74" spans="1:18" s="112" customFormat="1" ht="18" customHeight="1">
      <c r="A74" s="183">
        <v>1.5</v>
      </c>
      <c r="B74" s="87" t="s">
        <v>198</v>
      </c>
      <c r="C74" s="88" t="s">
        <v>158</v>
      </c>
      <c r="D74" s="117">
        <f>F74+E74</f>
        <v>5218208.4</v>
      </c>
      <c r="E74" s="98"/>
      <c r="F74" s="117">
        <f>6000000-280000-501791.6</f>
        <v>5218208.4</v>
      </c>
      <c r="G74" s="92">
        <f>J74+I74</f>
        <v>5217878</v>
      </c>
      <c r="H74" s="99">
        <f>G74*100/D74</f>
        <v>99.99366832493696</v>
      </c>
      <c r="I74" s="91"/>
      <c r="J74" s="92">
        <f>1040+69997+59682.65+2834.8+282546+1040+107027.2+6120+81327.7+108711.9+1086401.4+8583+175218+90018.9+6760+362196+192992.25+103877.8+6260+83670+1280+10000+19393.22+69829.6+94031.45+121723.95+56780+91433.15+4280+5440+183255.55+92712.9+242569+6640+59533.83+320584.5+159348+32312.4+24360+13074+247897+95000+146008.8+12801.3+21680+113473.1+23000+98791.65+7600+6740</f>
        <v>5217878</v>
      </c>
      <c r="K74" s="91">
        <f>N74+M74</f>
        <v>-2.0736479200422764E-10</v>
      </c>
      <c r="L74" s="116">
        <f>K74*100/D74</f>
        <v>-3.973869499045451E-15</v>
      </c>
      <c r="M74" s="91"/>
      <c r="N74" s="91">
        <f>282546+1448597.4+11739.2-2834.8+24587.7+116868.7+13280+5000-282546+106595.2-6120-81327.7-1086401.4-90018.9-6760+6760+48228-400-18835.5-362196+36783.05+16978.5-103877.8+10940+206098-6260-500-16024.1+57873.6-91433.15-4280+18000-92712.9+6560-6640-20+3680+18000+12801.3-32312.4-24360-200-69415.1-31859.6-12801.3-21680-100</f>
        <v>-2.0736479200422764E-10</v>
      </c>
      <c r="O74" s="92">
        <f>D74-G74-K74</f>
        <v>330.4000000005799</v>
      </c>
      <c r="P74" s="92">
        <f>O74*100/D74</f>
        <v>0.006331675063046157</v>
      </c>
      <c r="Q74" s="92">
        <f>E74-I74-M74</f>
        <v>0</v>
      </c>
      <c r="R74" s="92">
        <f>F74-J74-N74</f>
        <v>330.4000000005799</v>
      </c>
    </row>
    <row r="75" spans="1:18" s="112" customFormat="1" ht="18" customHeight="1">
      <c r="A75" s="100"/>
      <c r="B75" s="87" t="s">
        <v>199</v>
      </c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" customHeight="1">
      <c r="A76" s="100"/>
      <c r="B76" s="86" t="s">
        <v>200</v>
      </c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" customHeight="1">
      <c r="A77" s="183">
        <v>1.6</v>
      </c>
      <c r="B77" s="87" t="s">
        <v>201</v>
      </c>
      <c r="C77" s="88" t="s">
        <v>158</v>
      </c>
      <c r="D77" s="117">
        <f>F77+E77</f>
        <v>2124238.76</v>
      </c>
      <c r="E77" s="98"/>
      <c r="F77" s="117">
        <f>2387000-262761.24</f>
        <v>2124238.76</v>
      </c>
      <c r="G77" s="92">
        <f>J77+I77</f>
        <v>2119491.1799999997</v>
      </c>
      <c r="H77" s="99">
        <f>G77*100/D77</f>
        <v>99.77650440763071</v>
      </c>
      <c r="I77" s="91"/>
      <c r="J77" s="92">
        <f>72073.68+49997+87287+7290+95220+42273.6+24100+66654.8+32182.4+6160+41835+952051.76+69829.6+6000+38172.3+4923+73004.4+33782.4+5500+59908.35+25788.25+31382.4+3820+53580+8720+34000+28567.2+5278.5+2560+54581.05+2280+5132.79+11954+66654.8+16946.9</f>
        <v>2119491.1799999997</v>
      </c>
      <c r="K77" s="91">
        <f>N77+M77</f>
        <v>0</v>
      </c>
      <c r="L77" s="116">
        <f>K77*100/D77</f>
        <v>0</v>
      </c>
      <c r="M77" s="91"/>
      <c r="N77" s="91">
        <f>6160+18000+952051.76+42273.6-42273.6-24100+32182.4+6160-60-32182.4+38228+6000-6160-952051.76+5500+33782.4-6000-38172.3-55.7-33782.4-5500+5160+31382.4+2560+5278.5-31382.4-3820-1340-5278.5-2560+16946.9-16946.9</f>
        <v>0</v>
      </c>
      <c r="O77" s="92">
        <f>D77-G77-K77</f>
        <v>4747.5800000000745</v>
      </c>
      <c r="P77" s="92">
        <f>O77*100/D77</f>
        <v>0.22349559236929067</v>
      </c>
      <c r="Q77" s="92">
        <f>E77-I77-M77</f>
        <v>0</v>
      </c>
      <c r="R77" s="92">
        <f>F77-J77-N77</f>
        <v>4747.5800000000745</v>
      </c>
    </row>
    <row r="78" spans="1:18" s="112" customFormat="1" ht="18" customHeight="1">
      <c r="A78" s="100"/>
      <c r="B78" s="87" t="s">
        <v>49</v>
      </c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" customHeight="1">
      <c r="A79" s="100"/>
      <c r="B79" s="86" t="s">
        <v>202</v>
      </c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" customHeight="1">
      <c r="A80" s="183">
        <v>1.7</v>
      </c>
      <c r="B80" s="87" t="s">
        <v>204</v>
      </c>
      <c r="C80" s="88" t="s">
        <v>158</v>
      </c>
      <c r="D80" s="117">
        <f>F80+E80</f>
        <v>3564980</v>
      </c>
      <c r="E80" s="98"/>
      <c r="F80" s="117">
        <f>3818000-253020</f>
        <v>3564980</v>
      </c>
      <c r="G80" s="92">
        <f>J80+I80</f>
        <v>3547729.570000001</v>
      </c>
      <c r="H80" s="99">
        <f>G80*100/D80</f>
        <v>99.51611425590049</v>
      </c>
      <c r="I80" s="91"/>
      <c r="J80" s="92">
        <f>165220.75+483976.58+12900+53842-4364.35+182412.7+77687+80502.8+19060+17166+68637.05+8640+37174.8+92216.35+41774.8+6160+41835+20100+105457.1+56983.4+34440+859839+5244+119376.7+113076.25+53607.8+16346.9+8500+104700+160933.4+41122.62+49630.2+5160+9870.1+91255.5+53980+18009.2+8020+20154.35+52178.95+2452.2+77863+3620+50879.92+9542+2145.5+8400</f>
        <v>3547729.570000001</v>
      </c>
      <c r="K80" s="91">
        <f>N80+M80</f>
        <v>7.821654435247183E-11</v>
      </c>
      <c r="L80" s="116">
        <f>K80*100/D80</f>
        <v>2.1940247729993387E-15</v>
      </c>
      <c r="M80" s="91"/>
      <c r="N80" s="91">
        <f>12900+52842+6000+19060+78502.8-12900-53842+8640+104700-80502.8-19060+35474.8+859839-8640-37174.8+40474.8+6160+30940-41774.8+3500+57250.5-6160+16346.9+53607.8+8500-56983.4-34440-267.1-859839-53607.8-16346.9-8500+9958.8-104700+47028+5160+8100+15557-49630.2-5160-18009.2-8020-80-2452.2-2452.2</f>
        <v>7.821654435247183E-11</v>
      </c>
      <c r="O80" s="92">
        <f>D80-G80-K80</f>
        <v>17250.42999999869</v>
      </c>
      <c r="P80" s="92">
        <f>O80*100/D80</f>
        <v>0.48388574409950946</v>
      </c>
      <c r="Q80" s="92">
        <f>E80-I80-M80</f>
        <v>0</v>
      </c>
      <c r="R80" s="92">
        <f>F80-J80-N80</f>
        <v>17250.42999999869</v>
      </c>
    </row>
    <row r="81" spans="1:18" s="112" customFormat="1" ht="18" customHeight="1">
      <c r="A81" s="100"/>
      <c r="B81" s="87" t="s">
        <v>48</v>
      </c>
      <c r="C81" s="93"/>
      <c r="D81" s="170"/>
      <c r="E81" s="171"/>
      <c r="F81" s="170"/>
      <c r="G81" s="172"/>
      <c r="H81" s="173"/>
      <c r="I81" s="172"/>
      <c r="J81" s="174"/>
      <c r="K81" s="172"/>
      <c r="L81" s="174"/>
      <c r="M81" s="172"/>
      <c r="N81" s="172"/>
      <c r="O81" s="174"/>
      <c r="P81" s="174"/>
      <c r="Q81" s="172"/>
      <c r="R81" s="174"/>
    </row>
    <row r="82" spans="1:18" s="112" customFormat="1" ht="18" customHeight="1">
      <c r="A82" s="100"/>
      <c r="B82" s="86" t="s">
        <v>205</v>
      </c>
      <c r="C82" s="93"/>
      <c r="D82" s="170"/>
      <c r="E82" s="171"/>
      <c r="F82" s="170"/>
      <c r="G82" s="172"/>
      <c r="H82" s="173"/>
      <c r="I82" s="172"/>
      <c r="J82" s="174"/>
      <c r="K82" s="172"/>
      <c r="L82" s="174"/>
      <c r="M82" s="172"/>
      <c r="N82" s="172"/>
      <c r="O82" s="174"/>
      <c r="P82" s="174"/>
      <c r="Q82" s="172"/>
      <c r="R82" s="174"/>
    </row>
    <row r="83" spans="1:18" s="112" customFormat="1" ht="18" customHeight="1">
      <c r="A83" s="183">
        <v>1.8</v>
      </c>
      <c r="B83" s="87" t="s">
        <v>206</v>
      </c>
      <c r="C83" s="88" t="s">
        <v>158</v>
      </c>
      <c r="D83" s="117">
        <f>F83+E83</f>
        <v>1983074.07</v>
      </c>
      <c r="E83" s="98"/>
      <c r="F83" s="117">
        <f>2388000-404925.93</f>
        <v>1983074.07</v>
      </c>
      <c r="G83" s="92">
        <f>J83+I83</f>
        <v>1980415.8</v>
      </c>
      <c r="H83" s="99">
        <f>G83*100/D83</f>
        <v>99.86595205694964</v>
      </c>
      <c r="I83" s="91"/>
      <c r="J83" s="92">
        <f>38685+52767.05+26377+8950+55545+24969.7+30960+57926.1+24659.6+3080+38810+1136198.07+63084.15+15000+29271+9125.55+64672.55+10534.2+42585+45228.9+67237.38+1500+12995+3967.5+18251.1+76574.05+2195+16946.9+2320</f>
        <v>1980415.8</v>
      </c>
      <c r="K83" s="91">
        <f>N83+M83</f>
        <v>-1.4566126083082054E-12</v>
      </c>
      <c r="L83" s="116">
        <f>K83*100/D83</f>
        <v>-7.345225427248944E-17</v>
      </c>
      <c r="M83" s="91"/>
      <c r="N83" s="91">
        <f>24800+6160+24969.7+1136198.07-24969.7-30960+3080+24659.6+9000-24659.6+33449.5+6000-3080-1136198.07-15000-29271+10534.2-4178.5-10534.2+1500-1500+17000-16946.9-53.1</f>
        <v>-1.4566126083082054E-12</v>
      </c>
      <c r="O83" s="92">
        <f>D83-G83-K83</f>
        <v>2658.27000000002</v>
      </c>
      <c r="P83" s="92">
        <f>O83*100/D83</f>
        <v>0.13404794305035816</v>
      </c>
      <c r="Q83" s="92">
        <f>E83-I83-M83</f>
        <v>0</v>
      </c>
      <c r="R83" s="92">
        <f>F83-J83-N83</f>
        <v>2658.27000000002</v>
      </c>
    </row>
    <row r="84" spans="1:18" s="112" customFormat="1" ht="18" customHeight="1">
      <c r="A84" s="100"/>
      <c r="B84" s="87" t="s">
        <v>48</v>
      </c>
      <c r="C84" s="93"/>
      <c r="D84" s="170"/>
      <c r="E84" s="171"/>
      <c r="F84" s="170"/>
      <c r="G84" s="172"/>
      <c r="H84" s="173"/>
      <c r="I84" s="172"/>
      <c r="J84" s="174"/>
      <c r="K84" s="172"/>
      <c r="L84" s="174"/>
      <c r="M84" s="172"/>
      <c r="N84" s="172"/>
      <c r="O84" s="174"/>
      <c r="P84" s="174"/>
      <c r="Q84" s="172"/>
      <c r="R84" s="174"/>
    </row>
    <row r="85" spans="1:18" s="112" customFormat="1" ht="18" customHeight="1">
      <c r="A85" s="100"/>
      <c r="B85" s="86" t="s">
        <v>207</v>
      </c>
      <c r="C85" s="93"/>
      <c r="D85" s="170"/>
      <c r="E85" s="171"/>
      <c r="F85" s="170"/>
      <c r="G85" s="172"/>
      <c r="H85" s="173"/>
      <c r="I85" s="172"/>
      <c r="J85" s="174"/>
      <c r="K85" s="172"/>
      <c r="L85" s="174"/>
      <c r="M85" s="172"/>
      <c r="N85" s="172"/>
      <c r="O85" s="174"/>
      <c r="P85" s="174"/>
      <c r="Q85" s="172"/>
      <c r="R85" s="174"/>
    </row>
    <row r="86" spans="1:18" s="112" customFormat="1" ht="18" customHeight="1">
      <c r="A86" s="183">
        <v>1.9</v>
      </c>
      <c r="B86" s="87" t="s">
        <v>208</v>
      </c>
      <c r="C86" s="88" t="s">
        <v>158</v>
      </c>
      <c r="D86" s="117">
        <f>F86+E86</f>
        <v>2658261</v>
      </c>
      <c r="E86" s="98"/>
      <c r="F86" s="117">
        <f>2872000-213739</f>
        <v>2658261</v>
      </c>
      <c r="G86" s="92">
        <f>J86+I86</f>
        <v>2650631.45</v>
      </c>
      <c r="H86" s="99">
        <f>G86*100/D86</f>
        <v>99.71298717469806</v>
      </c>
      <c r="I86" s="91"/>
      <c r="J86" s="92">
        <f>38685+156093.43+95618.85+25010+252909+6905+86491.3+39238.1+5960+90856.65+61380+38750.8+6160+91254.5+50296.4+6000+898327+100381.05+46450.8+5500+32561.49+9890+19935+60305.2+22136.8+5060+15800+10000+4112+35708.5+53165.9+53980+15800+12668.4+7480+34914.8+10280+6000+7680+5500+54680.08+7196+12019+12163+33327.4+6000</f>
        <v>2650631.45</v>
      </c>
      <c r="K86" s="91">
        <f>N86+M86</f>
        <v>3.637978807091713E-11</v>
      </c>
      <c r="L86" s="116">
        <f>K86*100/D86</f>
        <v>1.36855591196339E-15</v>
      </c>
      <c r="M86" s="91"/>
      <c r="N86" s="91">
        <f>5960+39238.1+898327-39238.1-5960+6160+38750.8-38750.8+6000+52563.5-6160+5500+46450.8-50296.4-6000-2267.1-898327-46450.8-5500+22136.8+5500+24000+7480+12668.4-22136.8-5060-440+12000-12668.4-7480-24000-6000-6000</f>
        <v>3.637978807091713E-11</v>
      </c>
      <c r="O86" s="92">
        <f>D86-G86-K86</f>
        <v>7629.549999999777</v>
      </c>
      <c r="P86" s="92">
        <f>O86*100/D86</f>
        <v>0.28701282530194655</v>
      </c>
      <c r="Q86" s="92">
        <f>E86-I86-M86</f>
        <v>0</v>
      </c>
      <c r="R86" s="92">
        <f>F86-J86-N86</f>
        <v>7629.549999999777</v>
      </c>
    </row>
    <row r="87" spans="1:18" s="112" customFormat="1" ht="18" customHeight="1">
      <c r="A87" s="100"/>
      <c r="B87" s="87" t="s">
        <v>209</v>
      </c>
      <c r="C87" s="93"/>
      <c r="D87" s="170"/>
      <c r="E87" s="171"/>
      <c r="F87" s="170"/>
      <c r="G87" s="172"/>
      <c r="H87" s="173"/>
      <c r="I87" s="172"/>
      <c r="J87" s="174"/>
      <c r="K87" s="172"/>
      <c r="L87" s="174"/>
      <c r="M87" s="172"/>
      <c r="N87" s="172"/>
      <c r="O87" s="174"/>
      <c r="P87" s="174"/>
      <c r="Q87" s="172"/>
      <c r="R87" s="174"/>
    </row>
    <row r="88" spans="1:18" s="112" customFormat="1" ht="18" customHeight="1">
      <c r="A88" s="85"/>
      <c r="B88" s="93" t="s">
        <v>210</v>
      </c>
      <c r="C88" s="93"/>
      <c r="D88" s="170"/>
      <c r="E88" s="171"/>
      <c r="F88" s="170"/>
      <c r="G88" s="172"/>
      <c r="H88" s="173"/>
      <c r="I88" s="172"/>
      <c r="J88" s="174"/>
      <c r="K88" s="172"/>
      <c r="L88" s="174"/>
      <c r="M88" s="172"/>
      <c r="N88" s="172"/>
      <c r="O88" s="174"/>
      <c r="P88" s="174"/>
      <c r="Q88" s="172"/>
      <c r="R88" s="174"/>
    </row>
    <row r="89" spans="1:18" s="112" customFormat="1" ht="18" customHeight="1">
      <c r="A89" s="100"/>
      <c r="B89" s="86" t="s">
        <v>211</v>
      </c>
      <c r="C89" s="93"/>
      <c r="D89" s="170"/>
      <c r="E89" s="171"/>
      <c r="F89" s="170"/>
      <c r="G89" s="172"/>
      <c r="H89" s="173"/>
      <c r="I89" s="172"/>
      <c r="J89" s="174"/>
      <c r="K89" s="172"/>
      <c r="L89" s="174"/>
      <c r="M89" s="172"/>
      <c r="N89" s="172"/>
      <c r="O89" s="174"/>
      <c r="P89" s="174"/>
      <c r="Q89" s="172"/>
      <c r="R89" s="174"/>
    </row>
    <row r="90" spans="1:18" s="112" customFormat="1" ht="18" customHeight="1">
      <c r="A90" s="184">
        <v>1.1</v>
      </c>
      <c r="B90" s="87" t="s">
        <v>212</v>
      </c>
      <c r="C90" s="88" t="s">
        <v>158</v>
      </c>
      <c r="D90" s="117">
        <f>F90+E90</f>
        <v>3691498</v>
      </c>
      <c r="E90" s="98"/>
      <c r="F90" s="117">
        <f>4000000-187000-121502</f>
        <v>3691498</v>
      </c>
      <c r="G90" s="92">
        <f>J90+I90</f>
        <v>3686904.1300000004</v>
      </c>
      <c r="H90" s="99">
        <f>G90*100/D90</f>
        <v>99.8755553978358</v>
      </c>
      <c r="I90" s="91"/>
      <c r="J90" s="92">
        <f>106027.8+59002.8+69997+1280+3600+151320+151126+55497.85+9000+1280+8583+54180+39675+18835.5+2320+129010+50670.95+23514+3480+29450+109104+98885+9441.4+87287+27702.6+2140+743130+43643.5+82129.95+50205.2+3680+115938+74594+131720.2+53380+260770+30214+4000+79170+118632.15+73004.4+20108.3+80970+49403.25+113473.1+78826.93+21192+60820+18000+41659.25+20380+15450</f>
        <v>3686904.1300000004</v>
      </c>
      <c r="K90" s="91">
        <f>N90+M90</f>
        <v>0</v>
      </c>
      <c r="L90" s="116">
        <f>K90*100/D90</f>
        <v>0</v>
      </c>
      <c r="M90" s="91"/>
      <c r="N90" s="91">
        <f>431456+9000-151320-151126+48228-9000+852234-18835.5+3480-129010+2500-23514+132015.6+10940-3480-109104-5878.5+5000-27702.6-2140-743130+70319.2-50205.2-3680-100+3111.4-30214-4000+16996.9-1120-62819.2-38793.8+36000-20108.3-18000+2380-20380</f>
        <v>0</v>
      </c>
      <c r="O90" s="92">
        <f>D90-G90-K90</f>
        <v>4593.869999999646</v>
      </c>
      <c r="P90" s="92">
        <f>O90*100/D90</f>
        <v>0.12444460216420668</v>
      </c>
      <c r="Q90" s="92">
        <f>E90-I90-M90</f>
        <v>0</v>
      </c>
      <c r="R90" s="92">
        <f>F90-J90-N90</f>
        <v>4593.869999999646</v>
      </c>
    </row>
    <row r="91" spans="1:18" s="112" customFormat="1" ht="18" customHeight="1">
      <c r="A91" s="100"/>
      <c r="B91" s="87" t="s">
        <v>213</v>
      </c>
      <c r="C91" s="93"/>
      <c r="D91" s="170"/>
      <c r="E91" s="171"/>
      <c r="F91" s="170"/>
      <c r="G91" s="172"/>
      <c r="H91" s="173"/>
      <c r="I91" s="172"/>
      <c r="J91" s="174"/>
      <c r="K91" s="172"/>
      <c r="L91" s="174"/>
      <c r="M91" s="172"/>
      <c r="N91" s="172"/>
      <c r="O91" s="174"/>
      <c r="P91" s="174"/>
      <c r="Q91" s="172"/>
      <c r="R91" s="174"/>
    </row>
    <row r="92" spans="1:18" s="112" customFormat="1" ht="18" customHeight="1">
      <c r="A92" s="100"/>
      <c r="B92" s="86" t="s">
        <v>214</v>
      </c>
      <c r="C92" s="93"/>
      <c r="D92" s="170"/>
      <c r="E92" s="171"/>
      <c r="F92" s="170"/>
      <c r="G92" s="172"/>
      <c r="H92" s="173"/>
      <c r="I92" s="172"/>
      <c r="J92" s="174"/>
      <c r="K92" s="172"/>
      <c r="L92" s="174"/>
      <c r="M92" s="172"/>
      <c r="N92" s="172"/>
      <c r="O92" s="174"/>
      <c r="P92" s="174"/>
      <c r="Q92" s="172"/>
      <c r="R92" s="174"/>
    </row>
    <row r="93" spans="1:18" s="112" customFormat="1" ht="18" customHeight="1">
      <c r="A93" s="184">
        <v>1.11</v>
      </c>
      <c r="B93" s="87" t="s">
        <v>215</v>
      </c>
      <c r="C93" s="88" t="s">
        <v>158</v>
      </c>
      <c r="D93" s="117">
        <f>F93+E93</f>
        <v>476790.02</v>
      </c>
      <c r="E93" s="98"/>
      <c r="F93" s="117">
        <f>500000-23000-209.98</f>
        <v>476790.02</v>
      </c>
      <c r="G93" s="92">
        <f>J93+I93</f>
        <v>476790.02</v>
      </c>
      <c r="H93" s="116">
        <f>G93*100/D93</f>
        <v>100</v>
      </c>
      <c r="I93" s="91"/>
      <c r="J93" s="92">
        <f>14777.82+2750+74986.65+138356+6044+90461.8+39990+36603.9+3060+10709.95+14975.8+6546+18248.1+18000+1280</f>
        <v>476790.02</v>
      </c>
      <c r="K93" s="91">
        <f>N93+M93</f>
        <v>0</v>
      </c>
      <c r="L93" s="116">
        <f>K93*100/D93</f>
        <v>0</v>
      </c>
      <c r="M93" s="91"/>
      <c r="N93" s="91">
        <f>36603.9+3060-36603.9-3060+18000-18000</f>
        <v>0</v>
      </c>
      <c r="O93" s="92">
        <f>D93-G93-K93</f>
        <v>0</v>
      </c>
      <c r="P93" s="92">
        <f>O93*100/D93</f>
        <v>0</v>
      </c>
      <c r="Q93" s="92">
        <f>E93-I93-M93</f>
        <v>0</v>
      </c>
      <c r="R93" s="92">
        <f>F93-J93-N93</f>
        <v>0</v>
      </c>
    </row>
    <row r="94" spans="1:18" s="112" customFormat="1" ht="18" customHeight="1">
      <c r="A94" s="100"/>
      <c r="B94" s="87" t="s">
        <v>216</v>
      </c>
      <c r="C94" s="107"/>
      <c r="D94" s="108"/>
      <c r="E94" s="109"/>
      <c r="F94" s="108"/>
      <c r="G94" s="110"/>
      <c r="H94" s="99"/>
      <c r="I94" s="110"/>
      <c r="J94" s="111"/>
      <c r="K94" s="110"/>
      <c r="L94" s="111"/>
      <c r="M94" s="110"/>
      <c r="N94" s="110"/>
      <c r="O94" s="111"/>
      <c r="P94" s="111"/>
      <c r="Q94" s="110"/>
      <c r="R94" s="111"/>
    </row>
    <row r="95" spans="1:18" s="112" customFormat="1" ht="18" customHeight="1">
      <c r="A95" s="150"/>
      <c r="B95" s="97" t="s">
        <v>217</v>
      </c>
      <c r="C95" s="185"/>
      <c r="D95" s="186"/>
      <c r="E95" s="187"/>
      <c r="F95" s="186"/>
      <c r="G95" s="188"/>
      <c r="H95" s="189"/>
      <c r="I95" s="188"/>
      <c r="J95" s="190"/>
      <c r="K95" s="188"/>
      <c r="L95" s="190"/>
      <c r="M95" s="188"/>
      <c r="N95" s="188"/>
      <c r="O95" s="190"/>
      <c r="P95" s="190"/>
      <c r="Q95" s="188"/>
      <c r="R95" s="190"/>
    </row>
    <row r="96" spans="1:18" s="112" customFormat="1" ht="18" customHeight="1">
      <c r="A96" s="184">
        <v>1.12</v>
      </c>
      <c r="B96" s="87" t="s">
        <v>218</v>
      </c>
      <c r="C96" s="88" t="s">
        <v>158</v>
      </c>
      <c r="D96" s="117">
        <f>F96+E96</f>
        <v>4108275.6</v>
      </c>
      <c r="E96" s="98"/>
      <c r="F96" s="117">
        <f>4500000-210000-181724.4</f>
        <v>4108275.6</v>
      </c>
      <c r="G96" s="92">
        <f>J96+I96</f>
        <v>4107444.3899999997</v>
      </c>
      <c r="H96" s="99">
        <f>G96*100/D96</f>
        <v>99.97976742358763</v>
      </c>
      <c r="I96" s="91"/>
      <c r="J96" s="92">
        <f>69992+82592.64+59285.8+65367.95+12434.8+199475.4+8583+81270+40323+20655.4+2760+199261.6+98885+29010+199261.6+51350.8+31335.8+4200+55780+83670+87999.7+24253+2140+22614.6+249399+92000.05+40429.2+3680+115938+8000+57380+56580+384134+410913+208761.7+56700+97093+3469.6+4000+79170+3660+82874.5+81570+24149.4+6520+53980+7325+93891.15+107043.5+85800+28027.9+105025.4+27427.9</f>
        <v>4107444.3899999997</v>
      </c>
      <c r="K96" s="91">
        <f>N96+M96</f>
        <v>2.1827872842550278E-10</v>
      </c>
      <c r="L96" s="116">
        <f>K96*100/D96</f>
        <v>5.313147161439285E-15</v>
      </c>
      <c r="M96" s="91"/>
      <c r="N96" s="91">
        <f>597998.6+10800+4904.4+48721.6+6960+689322-12434.8-199475.4-20655.4-2760-199261.6-29010-199261.6-31335.8+118087.6+10940-4200+8000-2140-22614.6-249399+70319.2-40429.2-3680+9958.8+16937.1-8000-9958.8+13978.4-410913+20579.8+19960-97093-3469.6-4000-40.2-1120-35859.6-9307.3+34936.8+13979.8-24149.4-6520-13440-28027.9-400-27427.9</f>
        <v>2.1827872842550278E-10</v>
      </c>
      <c r="O96" s="92">
        <f>D96-G96-K96</f>
        <v>831.2100000002101</v>
      </c>
      <c r="P96" s="92">
        <f>O96*100/D96</f>
        <v>0.020232576412356807</v>
      </c>
      <c r="Q96" s="92">
        <f>E96-I96-M96</f>
        <v>0</v>
      </c>
      <c r="R96" s="92">
        <f>F96-J96-N96</f>
        <v>831.2100000002101</v>
      </c>
    </row>
    <row r="97" spans="1:18" s="112" customFormat="1" ht="18" customHeight="1">
      <c r="A97" s="94"/>
      <c r="B97" s="95" t="s">
        <v>187</v>
      </c>
      <c r="C97" s="96"/>
      <c r="D97" s="126"/>
      <c r="E97" s="127"/>
      <c r="F97" s="126"/>
      <c r="G97" s="128"/>
      <c r="H97" s="129"/>
      <c r="I97" s="128"/>
      <c r="J97" s="130"/>
      <c r="K97" s="128"/>
      <c r="L97" s="130"/>
      <c r="M97" s="128"/>
      <c r="N97" s="128"/>
      <c r="O97" s="130"/>
      <c r="P97" s="130"/>
      <c r="Q97" s="128"/>
      <c r="R97" s="130"/>
    </row>
    <row r="98" spans="1:18" s="112" customFormat="1" ht="18" customHeight="1">
      <c r="A98" s="150"/>
      <c r="B98" s="97" t="s">
        <v>219</v>
      </c>
      <c r="C98" s="185"/>
      <c r="D98" s="186"/>
      <c r="E98" s="187"/>
      <c r="F98" s="186"/>
      <c r="G98" s="188"/>
      <c r="H98" s="189"/>
      <c r="I98" s="188"/>
      <c r="J98" s="190"/>
      <c r="K98" s="188"/>
      <c r="L98" s="190"/>
      <c r="M98" s="188"/>
      <c r="N98" s="188"/>
      <c r="O98" s="190"/>
      <c r="P98" s="190"/>
      <c r="Q98" s="188"/>
      <c r="R98" s="190"/>
    </row>
    <row r="99" spans="1:18" s="112" customFormat="1" ht="18" customHeight="1">
      <c r="A99" s="184">
        <v>1.13</v>
      </c>
      <c r="B99" s="87" t="s">
        <v>220</v>
      </c>
      <c r="C99" s="88" t="s">
        <v>183</v>
      </c>
      <c r="D99" s="117">
        <f>F99+E99</f>
        <v>10954713.35</v>
      </c>
      <c r="E99" s="98">
        <v>829728</v>
      </c>
      <c r="F99" s="117">
        <f>11996600-1896414.65+24800</f>
        <v>10124985.35</v>
      </c>
      <c r="G99" s="92">
        <f>J99+I99</f>
        <v>10117384.110000001</v>
      </c>
      <c r="H99" s="99">
        <f>G99*100/D99</f>
        <v>92.35644773854354</v>
      </c>
      <c r="I99" s="91"/>
      <c r="J99" s="92">
        <f>66991.61+4917+87287+9401.3+209655.95+12336.1+419445+326039.4+7934.8+233936.8+129763.1+447442.22+242303.5+150302.5+83670+753727+503630+34850+1573712.13+410961.6+30562.45+446000+8280+165478.85+86070+265684.05+170607.5+164944+3469.6+8480+1510567+84870+373300.6+167656.7+5921.8+9320+15360+69141.8+4710+243165.9+119016.3+12100+206229+94380.1+12100+3469.6+5836+6258+88758.55+27339.3</f>
        <v>10117384.110000001</v>
      </c>
      <c r="K99" s="91">
        <f>N99+M99</f>
        <v>829727.5499999996</v>
      </c>
      <c r="L99" s="116">
        <f>K99*100/D99</f>
        <v>7.574160304249308</v>
      </c>
      <c r="M99" s="92">
        <v>829727.55</v>
      </c>
      <c r="N99" s="91">
        <f>19000-9401.3+11739.2+753727-12336.1+5000+949630+4000+199115.9+81988.9-7934.8+1573712.13-197.4-129763.1+4000+26080+9456.6+211368+211368-150302.5+21614.65-5655.7-9253.1-753727-503630-1573712.13+17348+20402.6-446000-8280-165478.85-164944-3469.6-8480+2452.2+23869.7+24200+74013-167656.7+23869.7+2000+15702.6-5921.8-9320+47739.4+70510.4-119016.3-12100-38.6-94380.1-12100-3469.6-27339.3</f>
        <v>-4.4019543565809727E-10</v>
      </c>
      <c r="O99" s="92">
        <f>D99-G99-K99</f>
        <v>7601.68999999878</v>
      </c>
      <c r="P99" s="92">
        <f>O99*100/D99</f>
        <v>0.0693919572071576</v>
      </c>
      <c r="Q99" s="92">
        <f>E99-I99-M99</f>
        <v>0.44999999995343387</v>
      </c>
      <c r="R99" s="92">
        <f>F99-J99-N99</f>
        <v>7601.239999998801</v>
      </c>
    </row>
    <row r="100" spans="1:18" s="112" customFormat="1" ht="18" customHeight="1">
      <c r="A100" s="100"/>
      <c r="B100" s="87" t="s">
        <v>221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111"/>
      <c r="M100" s="110"/>
      <c r="N100" s="110"/>
      <c r="O100" s="111"/>
      <c r="P100" s="111"/>
      <c r="Q100" s="110"/>
      <c r="R100" s="111"/>
    </row>
    <row r="101" spans="1:18" s="112" customFormat="1" ht="18" customHeight="1">
      <c r="A101" s="100"/>
      <c r="B101" s="86" t="s">
        <v>237</v>
      </c>
      <c r="C101" s="93"/>
      <c r="D101" s="170"/>
      <c r="E101" s="171"/>
      <c r="F101" s="170"/>
      <c r="G101" s="172"/>
      <c r="H101" s="173"/>
      <c r="I101" s="172"/>
      <c r="J101" s="174"/>
      <c r="K101" s="172"/>
      <c r="L101" s="174"/>
      <c r="M101" s="172"/>
      <c r="N101" s="172"/>
      <c r="O101" s="174"/>
      <c r="P101" s="174"/>
      <c r="Q101" s="172"/>
      <c r="R101" s="174"/>
    </row>
    <row r="102" spans="1:18" s="112" customFormat="1" ht="18" customHeight="1">
      <c r="A102" s="184">
        <v>1.14</v>
      </c>
      <c r="B102" s="87" t="s">
        <v>238</v>
      </c>
      <c r="C102" s="88" t="s">
        <v>245</v>
      </c>
      <c r="D102" s="117">
        <f>F102+E102</f>
        <v>13885389.129999999</v>
      </c>
      <c r="E102" s="98">
        <v>1405473</v>
      </c>
      <c r="F102" s="117">
        <f>15098500+42000-2660583.87</f>
        <v>12479916.129999999</v>
      </c>
      <c r="G102" s="92">
        <f>J102+I102</f>
        <v>13876412.670000004</v>
      </c>
      <c r="H102" s="99">
        <f>G102*100/D102</f>
        <v>99.93535319812824</v>
      </c>
      <c r="I102" s="92">
        <v>1405472.98</v>
      </c>
      <c r="J102" s="92">
        <f>399635+634414.13+182505+81270+116805.5+191632.55+137767.7+669270+1355333+41835+66310+1489971+209488.8+41450+645800+7340+124618.2+85170+318551.4+96547.2+34852+31520+1257518+9000+1700+60500+13000+266217+260518.75+59289+31382.4+108987.8+42280+3385+54380+52780+24347+637847.35+81296.91+275013.4+33300+17145+504037.35+94825.15+307696.8+20880+11921.8+2080+963373.1+35380+270879.4+7892</f>
        <v>12470939.690000003</v>
      </c>
      <c r="K102" s="91">
        <f>N102+M102</f>
        <v>0</v>
      </c>
      <c r="L102" s="116">
        <f>K102*100/D102</f>
        <v>0</v>
      </c>
      <c r="M102" s="200">
        <f>1405472.98-1405472.98</f>
        <v>0</v>
      </c>
      <c r="N102" s="91">
        <f>1257518+1315070+414059.8+1489971-116805.5+39120-137767.7-669270-1489971+9000+17348+9000-645800+31382.4+2000-7340-124618.2+7740+96547.2-34868.4+8920+10680+113486.6-3320+9000-96547.2-34852-31520+1900+31382.4-1257518-9000-1700-300+103618.2+13020+14280-9868.4+2000+31382.4+120386.6-31382.4+5604.4+7456.6+18000+18000-108987.8-42280+11091.4+213911+14880+146557.6+4000+62764.8-275013.4-33300+112638.4+17360+12020+15691.2-307696.8-20880-11921.8-35380-270879.4</f>
        <v>0</v>
      </c>
      <c r="O102" s="92">
        <f>D102-G102-K102</f>
        <v>8976.459999995306</v>
      </c>
      <c r="P102" s="92">
        <f>O102*100/D102</f>
        <v>0.06464680187176941</v>
      </c>
      <c r="Q102" s="200">
        <f>E102-I102-M102</f>
        <v>0.02000000001862645</v>
      </c>
      <c r="R102" s="92">
        <f>F102-J102-N102</f>
        <v>8976.439999995753</v>
      </c>
    </row>
    <row r="103" spans="1:18" s="112" customFormat="1" ht="18" customHeight="1">
      <c r="A103" s="100"/>
      <c r="B103" s="87" t="s">
        <v>125</v>
      </c>
      <c r="C103" s="107"/>
      <c r="D103" s="108"/>
      <c r="E103" s="109"/>
      <c r="F103" s="108"/>
      <c r="G103" s="110"/>
      <c r="H103" s="99"/>
      <c r="I103" s="110"/>
      <c r="J103" s="111"/>
      <c r="K103" s="110"/>
      <c r="L103" s="111"/>
      <c r="M103" s="110"/>
      <c r="N103" s="110"/>
      <c r="O103" s="111"/>
      <c r="P103" s="111"/>
      <c r="Q103" s="110"/>
      <c r="R103" s="111"/>
    </row>
    <row r="104" spans="1:19" s="112" customFormat="1" ht="18" customHeight="1">
      <c r="A104" s="100"/>
      <c r="B104" s="86" t="s">
        <v>223</v>
      </c>
      <c r="C104" s="185"/>
      <c r="D104" s="186"/>
      <c r="E104" s="187"/>
      <c r="F104" s="186"/>
      <c r="G104" s="188"/>
      <c r="H104" s="189"/>
      <c r="I104" s="188"/>
      <c r="J104" s="190"/>
      <c r="K104" s="188"/>
      <c r="L104" s="190"/>
      <c r="M104" s="188"/>
      <c r="N104" s="188"/>
      <c r="O104" s="190"/>
      <c r="P104" s="190"/>
      <c r="Q104" s="188"/>
      <c r="R104" s="190"/>
      <c r="S104" s="112">
        <v>4</v>
      </c>
    </row>
    <row r="105" spans="1:18" s="112" customFormat="1" ht="18" customHeight="1">
      <c r="A105" s="184">
        <v>1.15</v>
      </c>
      <c r="B105" s="87" t="s">
        <v>224</v>
      </c>
      <c r="C105" s="88" t="s">
        <v>226</v>
      </c>
      <c r="D105" s="117">
        <f>F105+E105</f>
        <v>16799821.5</v>
      </c>
      <c r="E105" s="98"/>
      <c r="F105" s="117">
        <f>18071097+1288903-2560178.5</f>
        <v>16799821.5</v>
      </c>
      <c r="G105" s="92">
        <f>J105+I105</f>
        <v>16797254.759999998</v>
      </c>
      <c r="H105" s="99">
        <f>G105*100/D105</f>
        <v>99.98472162338152</v>
      </c>
      <c r="I105" s="91"/>
      <c r="J105" s="92">
        <f>4718+157020+141000+249210+125657.6+42430+90340+59154+242010+53910+68930+161150+12440+198331.85+106760+64731.2+499751+240210+48775+56415+22880+182359.3+696516.5+74043.9+22740+41324.2+247410+69470+498200+126180+498200+267299.05+693360+2898301+106937.7+53166.34+10440+97615-396.85+32097.86+288047.1+3967.5+693360+85170+120283.35+350074+35704.5+301143.15+9125.55+156934.8+29160+99365+97546+974556+405873.55+80070+218886.9+17600+237510+81570+99958+244710+47750+60430+9125.55+363831.45+81870+54380+27533+94686+249210+237512+200041.95+115580+80970+63353.61+383665.95+213743.9+20000+383265.1+198403.2+20200</f>
        <v>16797254.759999998</v>
      </c>
      <c r="K105" s="91">
        <f>N105+M105</f>
        <v>3.7834979593753815E-10</v>
      </c>
      <c r="L105" s="116">
        <f>K105*100/D105</f>
        <v>2.252106047302575E-15</v>
      </c>
      <c r="M105" s="91"/>
      <c r="N105" s="91">
        <f>2898301+1496151+56319.2+11739.2+6760+5680+3057792.5+52296.4+23280-59154+9500-12440+61609.1+9500-64731.2-499751+22740-22880+66899-696516.5-74043.9-22740+10440+9500-498200+27603.9-498200-693360-2898301-106937.7+120283.35-10440+156934.8+29260-693360-120283.35+160990.5+17600-156934.8-29160+30059.6+5000-974556-100+22836.8+17500+99800+206254-218886.9-17600+40200+201097.65-200041.95-115580+13501.95-6212.05-920-800-100-400+179412+13568.4+5422.8-213743.9-20000-855.7-198403.2-20200</f>
        <v>3.7834979593753815E-10</v>
      </c>
      <c r="O105" s="92">
        <f>D105-G105-K105</f>
        <v>2566.740000001708</v>
      </c>
      <c r="P105" s="92">
        <f>O105*100/D105</f>
        <v>0.015278376618476022</v>
      </c>
      <c r="Q105" s="92">
        <f>E105-I105-M105</f>
        <v>0</v>
      </c>
      <c r="R105" s="92">
        <f>F105-J105-N105</f>
        <v>2566.740000001708</v>
      </c>
    </row>
    <row r="106" spans="1:18" s="112" customFormat="1" ht="18" customHeight="1">
      <c r="A106" s="100"/>
      <c r="B106" s="87" t="s">
        <v>225</v>
      </c>
      <c r="C106" s="93"/>
      <c r="D106" s="170"/>
      <c r="E106" s="171"/>
      <c r="F106" s="170"/>
      <c r="G106" s="172"/>
      <c r="H106" s="173"/>
      <c r="I106" s="172"/>
      <c r="J106" s="174"/>
      <c r="K106" s="172"/>
      <c r="L106" s="174"/>
      <c r="M106" s="172"/>
      <c r="N106" s="172"/>
      <c r="O106" s="174"/>
      <c r="P106" s="174"/>
      <c r="Q106" s="172"/>
      <c r="R106" s="174"/>
    </row>
    <row r="107" spans="1:18" s="112" customFormat="1" ht="18" customHeight="1">
      <c r="A107" s="85"/>
      <c r="B107" s="93" t="s">
        <v>53</v>
      </c>
      <c r="C107" s="93"/>
      <c r="D107" s="170"/>
      <c r="E107" s="171"/>
      <c r="F107" s="170"/>
      <c r="G107" s="172"/>
      <c r="H107" s="173"/>
      <c r="I107" s="172"/>
      <c r="J107" s="174"/>
      <c r="K107" s="172"/>
      <c r="L107" s="174"/>
      <c r="M107" s="172"/>
      <c r="N107" s="172"/>
      <c r="O107" s="174"/>
      <c r="P107" s="174"/>
      <c r="Q107" s="172"/>
      <c r="R107" s="174"/>
    </row>
    <row r="108" spans="1:18" s="112" customFormat="1" ht="18" customHeight="1">
      <c r="A108" s="100"/>
      <c r="B108" s="86" t="s">
        <v>227</v>
      </c>
      <c r="C108" s="93"/>
      <c r="D108" s="170"/>
      <c r="E108" s="171"/>
      <c r="F108" s="170"/>
      <c r="G108" s="172"/>
      <c r="H108" s="173"/>
      <c r="I108" s="172"/>
      <c r="J108" s="174"/>
      <c r="K108" s="172"/>
      <c r="L108" s="174"/>
      <c r="M108" s="172"/>
      <c r="N108" s="172"/>
      <c r="O108" s="174"/>
      <c r="P108" s="174"/>
      <c r="Q108" s="172"/>
      <c r="R108" s="174"/>
    </row>
    <row r="109" spans="1:18" s="112" customFormat="1" ht="18" customHeight="1">
      <c r="A109" s="184">
        <v>1.16</v>
      </c>
      <c r="B109" s="87" t="s">
        <v>228</v>
      </c>
      <c r="C109" s="88" t="s">
        <v>226</v>
      </c>
      <c r="D109" s="117">
        <f>F109+E109</f>
        <v>34742212.99</v>
      </c>
      <c r="E109" s="98"/>
      <c r="F109" s="117">
        <f>37028466+2008534-4294787.01</f>
        <v>34742212.99</v>
      </c>
      <c r="G109" s="92">
        <f>J109+I109</f>
        <v>34739117.77</v>
      </c>
      <c r="H109" s="99">
        <f>G109*100/D109</f>
        <v>99.99109089567527</v>
      </c>
      <c r="I109" s="91"/>
      <c r="J109" s="92">
        <f>108314.05+219120+47785+487058.8+68513+11375+232110+236610+236610+160420.5+491879+240210+164344+237960+99986+397653+96170+163466.2+240210+614710.3+142830+239523.45+499544+247410+251010+251010+251010+886008.35+305835.9+138106.8+14918214.8+78092+481216+488799.05+435558.3+349148+32520+495163.2+7347+99009.19+1262749.19+1091446.2+291221.9+459490.9+11840+38080+106558.6+68221.17+84870+1369787.5+80070+112120+539287.6+178561.5+28280+77310+46500+79170+81570+62808.2+20423+73000+25568+891873.65+212211.6+148600+55153.09+279252.4+14280+52275.24+489914.75+349148+99991.71+17100+178180.4+14280+3469.6+9074.14+9166.69+16990+15800+458532.75+74847.1+4340+3842</f>
        <v>34739117.77</v>
      </c>
      <c r="K109" s="92">
        <f>N109+M109</f>
        <v>4.94765117764473E-09</v>
      </c>
      <c r="L109" s="99">
        <f>K109*100/D109</f>
        <v>1.4241036341204957E-14</v>
      </c>
      <c r="M109" s="92"/>
      <c r="N109" s="92">
        <f>47785+119756-47785+16245.6+14068.4+20269.7+14068.4+20269.7+96456+28936.8+19291.2+35873.35+409459.8-160420.5+25769.7-7622.8-2296.4+14918214.8-239523.45+15000+20269.7+16568.4+39809.6+25932+77796+34576-17635.5+1262749.19+26080+27459.6-305835.9+175030.4+24240+249362.8-138106.8-19291.2+7045.6-93.6-95.2-8.4-14918214.8+16891.2+84456+7040+23200+186298.8+8000+24159.6+38582.4+12240-32520-495163.2+25769.7+120684+19358.3+32182.4-23000-1262749.19+66376.2+148026+23200-459490.9-11840-38080+49342+32049.5+17614+155669+27471+147480.9+156446.2-106558.6+2567.1-4880+143091.8+28560+3422.8+17614-539287.6+76526.2+14802.6-178561.5-28280+10458.8-9157-9668.4-108214.3-20814+157143.6+35228+6845.6-279252.4-14280+4340-400-1222.8-6345.6-178180.4-14280-3469.6+50340.7-74847.1-4340-50</f>
        <v>4.94765117764473E-09</v>
      </c>
      <c r="O109" s="92">
        <f>D109-G109-K109</f>
        <v>3095.2199999938603</v>
      </c>
      <c r="P109" s="92">
        <f>O109*100/D109</f>
        <v>0.008909104324715212</v>
      </c>
      <c r="Q109" s="92">
        <f>E109-I109-M109</f>
        <v>0</v>
      </c>
      <c r="R109" s="92">
        <f>F109-J109-N109</f>
        <v>3095.2199999938603</v>
      </c>
    </row>
    <row r="110" spans="1:18" s="112" customFormat="1" ht="18" customHeight="1">
      <c r="A110" s="100"/>
      <c r="B110" s="87" t="s">
        <v>229</v>
      </c>
      <c r="C110" s="107"/>
      <c r="D110" s="108"/>
      <c r="E110" s="109"/>
      <c r="F110" s="108"/>
      <c r="G110" s="110"/>
      <c r="H110" s="99"/>
      <c r="I110" s="110"/>
      <c r="J110" s="111"/>
      <c r="K110" s="110"/>
      <c r="L110" s="111"/>
      <c r="M110" s="110"/>
      <c r="N110" s="110"/>
      <c r="O110" s="111"/>
      <c r="P110" s="111"/>
      <c r="Q110" s="110"/>
      <c r="R110" s="111"/>
    </row>
    <row r="111" spans="1:19" s="112" customFormat="1" ht="18" customHeight="1">
      <c r="A111" s="100"/>
      <c r="B111" s="86" t="s">
        <v>240</v>
      </c>
      <c r="C111" s="185"/>
      <c r="D111" s="186"/>
      <c r="E111" s="187"/>
      <c r="F111" s="186"/>
      <c r="G111" s="188"/>
      <c r="H111" s="189"/>
      <c r="I111" s="188"/>
      <c r="J111" s="190"/>
      <c r="K111" s="188"/>
      <c r="L111" s="190"/>
      <c r="M111" s="188"/>
      <c r="N111" s="188"/>
      <c r="O111" s="190"/>
      <c r="P111" s="190"/>
      <c r="Q111" s="188"/>
      <c r="R111" s="190"/>
      <c r="S111" s="112">
        <v>4</v>
      </c>
    </row>
    <row r="112" spans="1:18" s="112" customFormat="1" ht="18" customHeight="1">
      <c r="A112" s="184">
        <v>1.17</v>
      </c>
      <c r="B112" s="87" t="s">
        <v>241</v>
      </c>
      <c r="C112" s="88" t="s">
        <v>244</v>
      </c>
      <c r="D112" s="117">
        <f>F112+E112</f>
        <v>3739430</v>
      </c>
      <c r="E112" s="98"/>
      <c r="F112" s="117">
        <f>3892000-152570</f>
        <v>3739430</v>
      </c>
      <c r="G112" s="92">
        <f>J112+I112</f>
        <v>3718267.7600000007</v>
      </c>
      <c r="H112" s="99">
        <f>G112*100/D112</f>
        <v>99.43407845580745</v>
      </c>
      <c r="I112" s="91"/>
      <c r="J112" s="92">
        <f>8383+39971+459938.5+21423.9+82470+49991.1+26536.8+3580+280000+229325.3+6000+100570+524775+925792+160490+4272+228883.3+17800+6000+42585+77840+104020.3+10452.2+11160+53580+2440+9870.1+73748.95+9842.1+8560+35884.3+2335+1900+2452.2+13849+17634.2+2552.2+61360.31</f>
        <v>3718267.7600000007</v>
      </c>
      <c r="K112" s="91">
        <f>N112+M112</f>
        <v>0</v>
      </c>
      <c r="L112" s="116">
        <f>K112*100/D112</f>
        <v>0</v>
      </c>
      <c r="M112" s="91"/>
      <c r="N112" s="91">
        <f>160490+925792+804775+26536.8+3580+5000-26536.8+95570+6000-3580-280000+6000+17800-6000-100570-524775-925792-160490-17800-6000+9958.8+8000+12000+5160+7389.9+2560-10452.2-11160-9842.1-8560+1900-1900-2452.2-2552.2-50</f>
        <v>0</v>
      </c>
      <c r="O112" s="92">
        <f>D112-G112-K112</f>
        <v>21162.239999999292</v>
      </c>
      <c r="P112" s="92">
        <f>O112*100/D112</f>
        <v>0.5659215441925451</v>
      </c>
      <c r="Q112" s="92">
        <f>E112-I112-M112</f>
        <v>0</v>
      </c>
      <c r="R112" s="92">
        <f>F112-J112-N112</f>
        <v>21162.239999999292</v>
      </c>
    </row>
    <row r="113" spans="1:18" s="112" customFormat="1" ht="18" customHeight="1">
      <c r="A113" s="100"/>
      <c r="B113" s="87" t="s">
        <v>242</v>
      </c>
      <c r="C113" s="93"/>
      <c r="D113" s="170"/>
      <c r="E113" s="171"/>
      <c r="F113" s="170"/>
      <c r="G113" s="172"/>
      <c r="H113" s="173"/>
      <c r="I113" s="172"/>
      <c r="J113" s="174"/>
      <c r="K113" s="172"/>
      <c r="L113" s="174"/>
      <c r="M113" s="172"/>
      <c r="N113" s="172"/>
      <c r="O113" s="174"/>
      <c r="P113" s="174"/>
      <c r="Q113" s="172"/>
      <c r="R113" s="174"/>
    </row>
    <row r="114" spans="1:18" s="112" customFormat="1" ht="18" customHeight="1">
      <c r="A114" s="85"/>
      <c r="B114" s="93" t="s">
        <v>243</v>
      </c>
      <c r="C114" s="93"/>
      <c r="D114" s="170"/>
      <c r="E114" s="171"/>
      <c r="F114" s="170"/>
      <c r="G114" s="172"/>
      <c r="H114" s="173"/>
      <c r="I114" s="172"/>
      <c r="J114" s="174"/>
      <c r="K114" s="172"/>
      <c r="L114" s="174"/>
      <c r="M114" s="172"/>
      <c r="N114" s="172"/>
      <c r="O114" s="174"/>
      <c r="P114" s="174"/>
      <c r="Q114" s="172"/>
      <c r="R114" s="174"/>
    </row>
    <row r="115" spans="1:18" s="112" customFormat="1" ht="18" customHeight="1">
      <c r="A115" s="85"/>
      <c r="B115" s="86" t="s">
        <v>262</v>
      </c>
      <c r="C115" s="93"/>
      <c r="D115" s="170"/>
      <c r="E115" s="171"/>
      <c r="F115" s="170"/>
      <c r="G115" s="172"/>
      <c r="H115" s="173"/>
      <c r="I115" s="172"/>
      <c r="J115" s="174"/>
      <c r="K115" s="172"/>
      <c r="L115" s="174"/>
      <c r="M115" s="172"/>
      <c r="N115" s="172"/>
      <c r="O115" s="174"/>
      <c r="P115" s="174"/>
      <c r="Q115" s="172"/>
      <c r="R115" s="174"/>
    </row>
    <row r="116" spans="1:18" s="112" customFormat="1" ht="18" customHeight="1">
      <c r="A116" s="85">
        <v>1.18</v>
      </c>
      <c r="B116" s="93" t="s">
        <v>263</v>
      </c>
      <c r="C116" s="206" t="s">
        <v>265</v>
      </c>
      <c r="D116" s="117">
        <f>F116+E116</f>
        <v>13370538</v>
      </c>
      <c r="E116" s="207">
        <v>12981538</v>
      </c>
      <c r="F116" s="117">
        <v>389000</v>
      </c>
      <c r="G116" s="92">
        <f>J116+I116</f>
        <v>388893.85000000003</v>
      </c>
      <c r="H116" s="99">
        <f>G116*100/D116</f>
        <v>2.9085878967622696</v>
      </c>
      <c r="I116" s="91"/>
      <c r="J116" s="92">
        <f>74493.5+31239.9+3160+71255+31639.9+3380+21100+48991.15+68014.5+3780+31839.9</f>
        <v>388893.85000000003</v>
      </c>
      <c r="K116" s="92">
        <f>N116+M116</f>
        <v>12981537.79</v>
      </c>
      <c r="L116" s="116">
        <f>K116*100/D116</f>
        <v>97.09061662290627</v>
      </c>
      <c r="M116" s="200">
        <v>12981537.79</v>
      </c>
      <c r="N116" s="92">
        <f>3260+95119.7+7560-31239.9-3160-100-31639.9-3380-400-400-3780-31839.9</f>
        <v>0</v>
      </c>
      <c r="O116" s="92">
        <f>D116-G116-K116</f>
        <v>106.3600000012666</v>
      </c>
      <c r="P116" s="92">
        <f>O116*100/D116</f>
        <v>0.0007954803314665917</v>
      </c>
      <c r="Q116" s="200">
        <f>E116-I116-M116</f>
        <v>0.21000000089406967</v>
      </c>
      <c r="R116" s="200">
        <f>F116-J116-N116</f>
        <v>106.14999999996508</v>
      </c>
    </row>
    <row r="117" spans="1:18" s="112" customFormat="1" ht="18" customHeight="1">
      <c r="A117" s="85"/>
      <c r="B117" s="93" t="s">
        <v>264</v>
      </c>
      <c r="C117" s="93"/>
      <c r="D117" s="170"/>
      <c r="E117" s="171"/>
      <c r="F117" s="170"/>
      <c r="G117" s="172"/>
      <c r="H117" s="173"/>
      <c r="I117" s="172"/>
      <c r="J117" s="174"/>
      <c r="K117" s="172"/>
      <c r="L117" s="174"/>
      <c r="M117" s="172"/>
      <c r="N117" s="172"/>
      <c r="O117" s="174"/>
      <c r="P117" s="174"/>
      <c r="Q117" s="172"/>
      <c r="R117" s="174"/>
    </row>
    <row r="118" spans="1:18" s="112" customFormat="1" ht="18" customHeight="1">
      <c r="A118" s="85"/>
      <c r="B118" s="86" t="s">
        <v>266</v>
      </c>
      <c r="C118" s="93"/>
      <c r="D118" s="170"/>
      <c r="E118" s="171"/>
      <c r="F118" s="170"/>
      <c r="G118" s="172"/>
      <c r="H118" s="173"/>
      <c r="I118" s="172"/>
      <c r="J118" s="174"/>
      <c r="K118" s="172"/>
      <c r="L118" s="174"/>
      <c r="M118" s="172"/>
      <c r="N118" s="172"/>
      <c r="O118" s="174"/>
      <c r="P118" s="174"/>
      <c r="Q118" s="172"/>
      <c r="R118" s="174"/>
    </row>
    <row r="119" spans="1:18" s="112" customFormat="1" ht="18" customHeight="1">
      <c r="A119" s="85">
        <v>1.19</v>
      </c>
      <c r="B119" s="93" t="s">
        <v>267</v>
      </c>
      <c r="C119" s="206" t="s">
        <v>265</v>
      </c>
      <c r="D119" s="117">
        <f>F119+E119</f>
        <v>1235998</v>
      </c>
      <c r="E119" s="207">
        <v>1199998</v>
      </c>
      <c r="F119" s="117">
        <v>36000</v>
      </c>
      <c r="G119" s="92">
        <f>J119+I119</f>
        <v>0</v>
      </c>
      <c r="H119" s="99">
        <f>G119*100/D119</f>
        <v>0</v>
      </c>
      <c r="I119" s="91"/>
      <c r="J119" s="92"/>
      <c r="K119" s="92">
        <f>N119+M119</f>
        <v>1199997.44</v>
      </c>
      <c r="L119" s="116">
        <f>K119*100/D119</f>
        <v>97.08732862027284</v>
      </c>
      <c r="M119" s="200">
        <v>1199997.44</v>
      </c>
      <c r="N119" s="92"/>
      <c r="O119" s="92">
        <f>D119-G119-K119</f>
        <v>36000.560000000056</v>
      </c>
      <c r="P119" s="92">
        <f>O119*100/D119</f>
        <v>2.9126713797271564</v>
      </c>
      <c r="Q119" s="200">
        <f>E119-I119-M119</f>
        <v>0.5600000000558794</v>
      </c>
      <c r="R119" s="200">
        <f>F119-J119-N119</f>
        <v>36000</v>
      </c>
    </row>
    <row r="120" spans="1:18" s="112" customFormat="1" ht="18" customHeight="1">
      <c r="A120" s="85"/>
      <c r="B120" s="93" t="s">
        <v>268</v>
      </c>
      <c r="C120" s="93"/>
      <c r="D120" s="170"/>
      <c r="E120" s="171"/>
      <c r="F120" s="170"/>
      <c r="G120" s="172"/>
      <c r="H120" s="173"/>
      <c r="I120" s="172"/>
      <c r="J120" s="174"/>
      <c r="K120" s="172"/>
      <c r="L120" s="174"/>
      <c r="M120" s="172"/>
      <c r="N120" s="172"/>
      <c r="O120" s="174"/>
      <c r="P120" s="174"/>
      <c r="Q120" s="172"/>
      <c r="R120" s="174"/>
    </row>
    <row r="121" spans="1:18" s="112" customFormat="1" ht="18" customHeight="1">
      <c r="A121" s="85"/>
      <c r="B121" s="93" t="s">
        <v>269</v>
      </c>
      <c r="C121" s="93"/>
      <c r="D121" s="170"/>
      <c r="E121" s="171"/>
      <c r="F121" s="170"/>
      <c r="G121" s="172"/>
      <c r="H121" s="173"/>
      <c r="I121" s="172"/>
      <c r="J121" s="174"/>
      <c r="K121" s="172"/>
      <c r="L121" s="174"/>
      <c r="M121" s="172"/>
      <c r="N121" s="172"/>
      <c r="O121" s="174"/>
      <c r="P121" s="174"/>
      <c r="Q121" s="172"/>
      <c r="R121" s="174"/>
    </row>
    <row r="122" spans="1:18" s="112" customFormat="1" ht="18.75" customHeight="1">
      <c r="A122" s="94"/>
      <c r="B122" s="175" t="s">
        <v>65</v>
      </c>
      <c r="C122" s="176"/>
      <c r="D122" s="178">
        <f>F122+E122</f>
        <v>149518882.63</v>
      </c>
      <c r="E122" s="208">
        <f>E61+E64+E67+E71+E74+E77+E80+E83+E86+E90+E93+E96+E99+E102+E105+E109+E112+E116+E119</f>
        <v>16416737</v>
      </c>
      <c r="F122" s="205">
        <f>F61+F64+F67+F71+F74+F77+F80+F83+F86+F90+F93+F96+F99+F102+F105+F109+F112+F116+F119</f>
        <v>133102145.63</v>
      </c>
      <c r="G122" s="204">
        <f>J122+I122</f>
        <v>134354827.97000003</v>
      </c>
      <c r="H122" s="177">
        <f>G122*100/D122</f>
        <v>89.85810060022654</v>
      </c>
      <c r="I122" s="204">
        <f>I61+I64+I67+I71+I74+I77+I80+I83+I86+I90+I93+I96+I99+I102+I105+I109+I112+I116+I119</f>
        <v>1405472.98</v>
      </c>
      <c r="J122" s="191">
        <f>J61+J64+J67+J71+J74+J77+J80+J83+J86+J90+J93+J96+J99+J102+J105+J109+J112+J116+J119</f>
        <v>132949354.99000002</v>
      </c>
      <c r="K122" s="180">
        <f>N122+M122</f>
        <v>15011262.780000007</v>
      </c>
      <c r="L122" s="177">
        <f>K122*100/D122</f>
        <v>10.039710380358404</v>
      </c>
      <c r="M122" s="204">
        <f>M61+M64+M67+M71+M74+M77+M80+M83+M86+M90+M93+M96+M99+M102+M105+M109+M112+M116+M119</f>
        <v>15011262.78</v>
      </c>
      <c r="N122" s="180">
        <f>N61+N64+N67+N71+N74+N77+N80+N83+N86+N90+N93+N96+N99+N102+N105+N109+N112+N116+N119</f>
        <v>7.0498558102372044E-09</v>
      </c>
      <c r="O122" s="177">
        <f>D122-G122-K122</f>
        <v>152791.87999995984</v>
      </c>
      <c r="P122" s="177">
        <f>O122*100/D122</f>
        <v>0.1021890194150656</v>
      </c>
      <c r="Q122" s="204">
        <f>E122-I122-M122</f>
        <v>1.2400000002235174</v>
      </c>
      <c r="R122" s="191">
        <f>F122-J122-N122</f>
        <v>152790.63999996375</v>
      </c>
    </row>
    <row r="123" spans="1:19" s="112" customFormat="1" ht="18.75" customHeight="1">
      <c r="A123" s="100"/>
      <c r="B123" s="86" t="s">
        <v>246</v>
      </c>
      <c r="C123" s="185"/>
      <c r="D123" s="186"/>
      <c r="E123" s="187"/>
      <c r="F123" s="186"/>
      <c r="G123" s="188"/>
      <c r="H123" s="189"/>
      <c r="I123" s="188"/>
      <c r="J123" s="190"/>
      <c r="K123" s="188"/>
      <c r="L123" s="190"/>
      <c r="M123" s="188"/>
      <c r="N123" s="188"/>
      <c r="O123" s="190"/>
      <c r="P123" s="190"/>
      <c r="Q123" s="188"/>
      <c r="R123" s="190"/>
      <c r="S123" s="112">
        <v>4</v>
      </c>
    </row>
    <row r="124" spans="1:18" s="112" customFormat="1" ht="19.5" customHeight="1">
      <c r="A124" s="183">
        <v>1.1</v>
      </c>
      <c r="B124" s="87" t="s">
        <v>247</v>
      </c>
      <c r="C124" s="88" t="s">
        <v>249</v>
      </c>
      <c r="D124" s="117">
        <f>F124+E124</f>
        <v>214800</v>
      </c>
      <c r="E124" s="98"/>
      <c r="F124" s="117">
        <v>214800</v>
      </c>
      <c r="G124" s="92">
        <f>J124+I124</f>
        <v>213862.87</v>
      </c>
      <c r="H124" s="99">
        <f>G124*100/D124</f>
        <v>99.56371973929237</v>
      </c>
      <c r="I124" s="91"/>
      <c r="J124" s="92">
        <f>20974.87+31740+82176+31740+20968+26264</f>
        <v>213862.87</v>
      </c>
      <c r="K124" s="91">
        <f>N124+M124</f>
        <v>0</v>
      </c>
      <c r="L124" s="116">
        <f>K124*100/D124</f>
        <v>0</v>
      </c>
      <c r="M124" s="91"/>
      <c r="N124" s="91"/>
      <c r="O124" s="92">
        <f>D124-G124-K124</f>
        <v>937.1300000000047</v>
      </c>
      <c r="P124" s="92">
        <f>O124*100/D124</f>
        <v>0.4362802607076372</v>
      </c>
      <c r="Q124" s="92">
        <f>E124-I124-M124</f>
        <v>0</v>
      </c>
      <c r="R124" s="92">
        <f>F124-J124-N124</f>
        <v>937.1300000000047</v>
      </c>
    </row>
    <row r="125" spans="1:18" s="112" customFormat="1" ht="19.5" customHeight="1">
      <c r="A125" s="100"/>
      <c r="B125" s="87" t="s">
        <v>248</v>
      </c>
      <c r="C125" s="93"/>
      <c r="D125" s="170"/>
      <c r="E125" s="171"/>
      <c r="F125" s="170"/>
      <c r="G125" s="172"/>
      <c r="H125" s="173"/>
      <c r="I125" s="172"/>
      <c r="J125" s="174"/>
      <c r="K125" s="172"/>
      <c r="L125" s="174"/>
      <c r="M125" s="172"/>
      <c r="N125" s="172"/>
      <c r="O125" s="174"/>
      <c r="P125" s="174"/>
      <c r="Q125" s="172"/>
      <c r="R125" s="174"/>
    </row>
    <row r="126" spans="1:18" s="112" customFormat="1" ht="18.75" customHeight="1">
      <c r="A126" s="94"/>
      <c r="B126" s="175" t="s">
        <v>250</v>
      </c>
      <c r="C126" s="176"/>
      <c r="D126" s="178">
        <f>F126+E126</f>
        <v>214800</v>
      </c>
      <c r="E126" s="179">
        <f>E66+E69+E72+E75+E79+E82+E85+E88+E91+E95+E98+E101+E104+E107+E110+E114+E124</f>
        <v>0</v>
      </c>
      <c r="F126" s="178">
        <f>F66+F69+F72+F75+F79+F82+F85+F88+F91+F95+F98+F101+F104+F107+F110+F114+F124</f>
        <v>214800</v>
      </c>
      <c r="G126" s="180">
        <f>J126+I126</f>
        <v>213862.87</v>
      </c>
      <c r="H126" s="177">
        <f>G126*100/D126</f>
        <v>99.56371973929237</v>
      </c>
      <c r="I126" s="180">
        <f>I66+I69+I72+I75+I79+I82+I85+I88+I91+I95+I98+I101+I104+I107+I110+I114+I124</f>
        <v>0</v>
      </c>
      <c r="J126" s="177">
        <f>J66+J69+J72+J75+J79+J82+J85+J88+J91+J95+J98+J101+J104+J107+J110+J114+J124</f>
        <v>213862.87</v>
      </c>
      <c r="K126" s="180">
        <f>N126+M126</f>
        <v>0</v>
      </c>
      <c r="L126" s="177">
        <f>K126*100/D126</f>
        <v>0</v>
      </c>
      <c r="M126" s="180">
        <f>M66+M69+M72+M75+M79+M82+M85+M88+M91+M95+M98+M101+M104+M107+M110+M114+M124</f>
        <v>0</v>
      </c>
      <c r="N126" s="180">
        <f>N66+N69+N72+N75+N79+N82+N85+N88+N91+N95+N98+N101+N104+N107+N110+N114+N124</f>
        <v>0</v>
      </c>
      <c r="O126" s="177">
        <f>D126-G126-K126</f>
        <v>937.1300000000047</v>
      </c>
      <c r="P126" s="177">
        <f>O126*100/D126</f>
        <v>0.4362802607076372</v>
      </c>
      <c r="Q126" s="180">
        <f>E126-I126-M126</f>
        <v>0</v>
      </c>
      <c r="R126" s="191">
        <f>F126-J126-N126</f>
        <v>937.1300000000047</v>
      </c>
    </row>
    <row r="127" spans="2:9" ht="18.75">
      <c r="B127" s="77" t="s">
        <v>260</v>
      </c>
      <c r="I127" s="77" t="s">
        <v>273</v>
      </c>
    </row>
    <row r="128" ht="18.75">
      <c r="B128" s="77" t="s">
        <v>261</v>
      </c>
    </row>
    <row r="129" ht="18.75">
      <c r="B129" s="77" t="s">
        <v>272</v>
      </c>
    </row>
    <row r="130" ht="18.75">
      <c r="B130" s="77" t="s">
        <v>271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23" t="s">
        <v>286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customHeight="1">
      <c r="A2" s="224" t="s">
        <v>0</v>
      </c>
      <c r="B2" s="224" t="s">
        <v>1</v>
      </c>
      <c r="C2" s="225" t="s">
        <v>2</v>
      </c>
      <c r="D2" s="226" t="s">
        <v>3</v>
      </c>
      <c r="E2" s="226"/>
      <c r="F2" s="226"/>
      <c r="G2" s="226" t="s">
        <v>7</v>
      </c>
      <c r="H2" s="226"/>
      <c r="I2" s="226"/>
      <c r="J2" s="226"/>
      <c r="K2" s="226" t="s">
        <v>9</v>
      </c>
      <c r="L2" s="226"/>
      <c r="M2" s="226"/>
      <c r="N2" s="226"/>
      <c r="O2" s="226" t="s">
        <v>10</v>
      </c>
      <c r="P2" s="226"/>
      <c r="Q2" s="226"/>
      <c r="R2" s="226"/>
    </row>
    <row r="3" spans="1:18" ht="14.25" customHeight="1">
      <c r="A3" s="224"/>
      <c r="B3" s="224"/>
      <c r="C3" s="22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898300</v>
      </c>
      <c r="E4" s="22">
        <f>SUM(E7)</f>
        <v>0</v>
      </c>
      <c r="F4" s="22">
        <f>SUM(F7)</f>
        <v>898300</v>
      </c>
      <c r="G4" s="24">
        <f>I4+J4</f>
        <v>176109.66</v>
      </c>
      <c r="H4" s="24">
        <f>G4*100/D4</f>
        <v>19.604771234554157</v>
      </c>
      <c r="I4" s="22">
        <f>SUM(I7)</f>
        <v>0</v>
      </c>
      <c r="J4" s="22">
        <f>SUM(J7)</f>
        <v>176109.66</v>
      </c>
      <c r="K4" s="24">
        <f>M4+N4</f>
        <v>337992.94</v>
      </c>
      <c r="L4" s="24">
        <f>K4*100/D4</f>
        <v>37.6258421462763</v>
      </c>
      <c r="M4" s="22">
        <f>SUM(M7)</f>
        <v>0</v>
      </c>
      <c r="N4" s="22">
        <f>SUM(N7)</f>
        <v>337992.94</v>
      </c>
      <c r="O4" s="22">
        <f>Q4+R4</f>
        <v>384197.39999999997</v>
      </c>
      <c r="P4" s="22">
        <f>O4*100/D4</f>
        <v>42.769386619169545</v>
      </c>
      <c r="Q4" s="22">
        <f>SUM(Q7)</f>
        <v>0</v>
      </c>
      <c r="R4" s="22">
        <f>SUM(R7)</f>
        <v>384197.39999999997</v>
      </c>
    </row>
    <row r="5" spans="1:19" ht="20.25" customHeight="1">
      <c r="A5" s="25">
        <v>1</v>
      </c>
      <c r="B5" s="48" t="s">
        <v>275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276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1.1</v>
      </c>
      <c r="B7" s="3" t="s">
        <v>277</v>
      </c>
      <c r="C7" s="54" t="s">
        <v>279</v>
      </c>
      <c r="D7" s="62">
        <f>F7+E7</f>
        <v>898300</v>
      </c>
      <c r="E7" s="63"/>
      <c r="F7" s="62">
        <f>898300</f>
        <v>898300</v>
      </c>
      <c r="G7" s="64">
        <f>I7+J7</f>
        <v>176109.66</v>
      </c>
      <c r="H7" s="76">
        <f>G7*100/D7</f>
        <v>19.604771234554157</v>
      </c>
      <c r="I7" s="64"/>
      <c r="J7" s="64">
        <f>62994.66+6680+11280+95155</f>
        <v>176109.66</v>
      </c>
      <c r="K7" s="64">
        <f>M7+N7</f>
        <v>337992.94</v>
      </c>
      <c r="L7" s="64">
        <f>K7*100/D7</f>
        <v>37.6258421462763</v>
      </c>
      <c r="M7" s="64"/>
      <c r="N7" s="64">
        <f>292500+45492.94</f>
        <v>337992.94</v>
      </c>
      <c r="O7" s="64">
        <f>D7-G7-K7</f>
        <v>384197.39999999997</v>
      </c>
      <c r="P7" s="64">
        <f>O7*100/D7</f>
        <v>42.769386619169545</v>
      </c>
      <c r="Q7" s="64">
        <f>E7-I7-M7</f>
        <v>0</v>
      </c>
      <c r="R7" s="64">
        <f>F7-J7-N7</f>
        <v>384197.39999999997</v>
      </c>
    </row>
    <row r="8" spans="1:18" ht="17.25" customHeight="1">
      <c r="A8" s="6"/>
      <c r="B8" s="7" t="s">
        <v>278</v>
      </c>
      <c r="C8" s="67"/>
      <c r="D8" s="209"/>
      <c r="E8" s="210"/>
      <c r="F8" s="20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ht="17.25" customHeight="1">
      <c r="A9" s="6">
        <v>1.2</v>
      </c>
      <c r="B9" s="7" t="s">
        <v>280</v>
      </c>
      <c r="C9" s="54" t="s">
        <v>279</v>
      </c>
      <c r="D9" s="62">
        <f>F9+E9</f>
        <v>958900</v>
      </c>
      <c r="E9" s="63"/>
      <c r="F9" s="62">
        <f>958900</f>
        <v>958900</v>
      </c>
      <c r="G9" s="64">
        <f>I9+J9</f>
        <v>206702.07</v>
      </c>
      <c r="H9" s="76">
        <f>G9*100/D9</f>
        <v>21.556165397851704</v>
      </c>
      <c r="I9" s="64"/>
      <c r="J9" s="64">
        <f>69985.07+20000+116717</f>
        <v>206702.07</v>
      </c>
      <c r="K9" s="64">
        <f>M9+N9</f>
        <v>298664.06</v>
      </c>
      <c r="L9" s="64">
        <f>K9*100/D9</f>
        <v>31.146528313692773</v>
      </c>
      <c r="M9" s="64"/>
      <c r="N9" s="64">
        <f>77220+221444.06</f>
        <v>298664.06</v>
      </c>
      <c r="O9" s="64">
        <f>D9-G9-K9</f>
        <v>453533.86999999994</v>
      </c>
      <c r="P9" s="64">
        <f>O9*100/D9</f>
        <v>47.297306288455516</v>
      </c>
      <c r="Q9" s="64">
        <f>E9-I9-M9</f>
        <v>0</v>
      </c>
      <c r="R9" s="64">
        <f>F9-J9-N9</f>
        <v>453533.86999999994</v>
      </c>
    </row>
    <row r="10" spans="1:18" ht="17.25" customHeight="1">
      <c r="A10" s="6"/>
      <c r="B10" s="7" t="s">
        <v>281</v>
      </c>
      <c r="C10" s="67"/>
      <c r="D10" s="209"/>
      <c r="E10" s="210"/>
      <c r="F10" s="209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</row>
    <row r="11" spans="1:18" ht="17.25" customHeight="1">
      <c r="A11" s="6">
        <v>1.3</v>
      </c>
      <c r="B11" s="7" t="s">
        <v>282</v>
      </c>
      <c r="C11" s="54" t="s">
        <v>279</v>
      </c>
      <c r="D11" s="62">
        <f>F11+E11</f>
        <v>950000</v>
      </c>
      <c r="E11" s="63"/>
      <c r="F11" s="62">
        <f>950000</f>
        <v>950000</v>
      </c>
      <c r="G11" s="64">
        <f>I11+J11</f>
        <v>594736.54</v>
      </c>
      <c r="H11" s="76">
        <f>G11*100/D11</f>
        <v>62.603846315789475</v>
      </c>
      <c r="I11" s="64"/>
      <c r="J11" s="64">
        <f>28960.27+21012.8+54040+19000+19090+452633.47</f>
        <v>594736.54</v>
      </c>
      <c r="K11" s="64">
        <f>M11+N11</f>
        <v>0</v>
      </c>
      <c r="L11" s="64">
        <f>K11*100/D11</f>
        <v>0</v>
      </c>
      <c r="M11" s="64"/>
      <c r="N11" s="64"/>
      <c r="O11" s="64">
        <f>D11-G11-K11</f>
        <v>355263.45999999996</v>
      </c>
      <c r="P11" s="64">
        <f>O11*100/D11</f>
        <v>37.396153684210525</v>
      </c>
      <c r="Q11" s="64">
        <f>E11-I11-M11</f>
        <v>0</v>
      </c>
      <c r="R11" s="64">
        <f>F11-J11-N11</f>
        <v>355263.45999999996</v>
      </c>
    </row>
    <row r="12" spans="1:18" ht="17.25" customHeight="1">
      <c r="A12" s="6"/>
      <c r="B12" s="7" t="s">
        <v>283</v>
      </c>
      <c r="C12" s="67"/>
      <c r="D12" s="68"/>
      <c r="E12" s="69"/>
      <c r="F12" s="68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7.25" customHeight="1">
      <c r="A13" s="6"/>
      <c r="B13" s="7" t="s">
        <v>53</v>
      </c>
      <c r="C13" s="67"/>
      <c r="D13" s="68"/>
      <c r="E13" s="69"/>
      <c r="F13" s="68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7.25" customHeight="1">
      <c r="A14" s="6"/>
      <c r="B14" s="7"/>
      <c r="C14" s="67"/>
      <c r="D14" s="68"/>
      <c r="E14" s="69"/>
      <c r="F14" s="68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7.25" customHeight="1">
      <c r="A15" s="16"/>
      <c r="B15" s="15"/>
      <c r="C15" s="51"/>
      <c r="D15" s="32"/>
      <c r="E15" s="33"/>
      <c r="F15" s="32"/>
      <c r="G15" s="34"/>
      <c r="H15" s="35"/>
      <c r="I15" s="34"/>
      <c r="J15" s="35"/>
      <c r="K15" s="34"/>
      <c r="L15" s="35"/>
      <c r="M15" s="34"/>
      <c r="N15" s="34"/>
      <c r="O15" s="34"/>
      <c r="P15" s="35"/>
      <c r="Q15" s="34"/>
      <c r="R15" s="34"/>
    </row>
    <row r="17" ht="18">
      <c r="B17" s="47" t="s">
        <v>285</v>
      </c>
    </row>
    <row r="19" ht="18">
      <c r="J19" s="1" t="s">
        <v>239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23" t="s">
        <v>284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customHeight="1">
      <c r="A2" s="224" t="s">
        <v>0</v>
      </c>
      <c r="B2" s="224" t="s">
        <v>1</v>
      </c>
      <c r="C2" s="225" t="s">
        <v>2</v>
      </c>
      <c r="D2" s="226" t="s">
        <v>3</v>
      </c>
      <c r="E2" s="226"/>
      <c r="F2" s="226"/>
      <c r="G2" s="226" t="s">
        <v>7</v>
      </c>
      <c r="H2" s="226"/>
      <c r="I2" s="226"/>
      <c r="J2" s="226"/>
      <c r="K2" s="226" t="s">
        <v>9</v>
      </c>
      <c r="L2" s="226"/>
      <c r="M2" s="226"/>
      <c r="N2" s="226"/>
      <c r="O2" s="226" t="s">
        <v>10</v>
      </c>
      <c r="P2" s="226"/>
      <c r="Q2" s="226"/>
      <c r="R2" s="226"/>
    </row>
    <row r="3" spans="1:18" ht="14.25" customHeight="1">
      <c r="A3" s="224"/>
      <c r="B3" s="224"/>
      <c r="C3" s="22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514300</v>
      </c>
      <c r="E4" s="22">
        <f>SUM(E7)</f>
        <v>0</v>
      </c>
      <c r="F4" s="22">
        <f>SUM(F7)</f>
        <v>514300</v>
      </c>
      <c r="G4" s="24">
        <f>I4+J4</f>
        <v>62994.66</v>
      </c>
      <c r="H4" s="24">
        <f>G4*100/D4</f>
        <v>12.248621427182579</v>
      </c>
      <c r="I4" s="22">
        <f>SUM(I7)</f>
        <v>0</v>
      </c>
      <c r="J4" s="22">
        <f>SUM(J7)</f>
        <v>62994.66</v>
      </c>
      <c r="K4" s="24">
        <f>M4+N4</f>
        <v>451107.94</v>
      </c>
      <c r="L4" s="24">
        <f>K4*100/D4</f>
        <v>87.71299630565818</v>
      </c>
      <c r="M4" s="22">
        <f>SUM(M7)</f>
        <v>0</v>
      </c>
      <c r="N4" s="22">
        <f>SUM(N7)</f>
        <v>451107.94</v>
      </c>
      <c r="O4" s="22">
        <f>Q4+R4</f>
        <v>197.39999999996508</v>
      </c>
      <c r="P4" s="22">
        <f>O4*100/D4</f>
        <v>0.038382267159238787</v>
      </c>
      <c r="Q4" s="22">
        <f>SUM(Q7)</f>
        <v>0</v>
      </c>
      <c r="R4" s="22">
        <f>SUM(R7)</f>
        <v>197.39999999996508</v>
      </c>
    </row>
    <row r="5" spans="1:19" ht="20.25" customHeight="1">
      <c r="A5" s="25">
        <v>1</v>
      </c>
      <c r="B5" s="48" t="s">
        <v>275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276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1.1</v>
      </c>
      <c r="B7" s="3" t="s">
        <v>277</v>
      </c>
      <c r="C7" s="54" t="s">
        <v>279</v>
      </c>
      <c r="D7" s="62">
        <f>F7+E7</f>
        <v>514300</v>
      </c>
      <c r="E7" s="63"/>
      <c r="F7" s="62">
        <f>898300-384000</f>
        <v>514300</v>
      </c>
      <c r="G7" s="64">
        <f>I7+J7</f>
        <v>62994.66</v>
      </c>
      <c r="H7" s="76">
        <f>G7*100/D7</f>
        <v>12.248621427182579</v>
      </c>
      <c r="I7" s="64"/>
      <c r="J7" s="64">
        <f>62994.66</f>
        <v>62994.66</v>
      </c>
      <c r="K7" s="64">
        <f>M7+N7</f>
        <v>451107.94</v>
      </c>
      <c r="L7" s="64">
        <f>K7*100/D7</f>
        <v>87.71299630565818</v>
      </c>
      <c r="M7" s="64"/>
      <c r="N7" s="64">
        <f>292500+95155+45492.94+6680+11280</f>
        <v>451107.94</v>
      </c>
      <c r="O7" s="64">
        <f>D7-G7-K7</f>
        <v>197.39999999996508</v>
      </c>
      <c r="P7" s="64">
        <f>O7*100/D7</f>
        <v>0.038382267159238787</v>
      </c>
      <c r="Q7" s="64">
        <f>E7-I7-M7</f>
        <v>0</v>
      </c>
      <c r="R7" s="64">
        <f>F7-J7-N7</f>
        <v>197.39999999996508</v>
      </c>
    </row>
    <row r="8" spans="1:18" ht="17.25" customHeight="1">
      <c r="A8" s="6"/>
      <c r="B8" s="7" t="s">
        <v>278</v>
      </c>
      <c r="C8" s="67"/>
      <c r="D8" s="209"/>
      <c r="E8" s="210"/>
      <c r="F8" s="20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ht="17.25" customHeight="1">
      <c r="A9" s="6">
        <v>1.2</v>
      </c>
      <c r="B9" s="7" t="s">
        <v>280</v>
      </c>
      <c r="C9" s="54" t="s">
        <v>279</v>
      </c>
      <c r="D9" s="62">
        <f>F9+E9</f>
        <v>506748</v>
      </c>
      <c r="E9" s="63"/>
      <c r="F9" s="62">
        <f>958900-452152</f>
        <v>506748</v>
      </c>
      <c r="G9" s="64">
        <f>I9+J9</f>
        <v>69985.07</v>
      </c>
      <c r="H9" s="76">
        <f>G9*100/D9</f>
        <v>13.810625794280394</v>
      </c>
      <c r="I9" s="64"/>
      <c r="J9" s="64">
        <f>69985.07</f>
        <v>69985.07</v>
      </c>
      <c r="K9" s="64">
        <f>M9+N9</f>
        <v>435381.06</v>
      </c>
      <c r="L9" s="64">
        <f>K9*100/D9</f>
        <v>85.9166804802387</v>
      </c>
      <c r="M9" s="64"/>
      <c r="N9" s="64">
        <f>77220+116717+221444.06+20000</f>
        <v>435381.06</v>
      </c>
      <c r="O9" s="64">
        <f>D9-G9-K9</f>
        <v>1381.8699999999953</v>
      </c>
      <c r="P9" s="64">
        <f>O9*100/D9</f>
        <v>0.2726937254809087</v>
      </c>
      <c r="Q9" s="64">
        <f>E9-I9-M9</f>
        <v>0</v>
      </c>
      <c r="R9" s="64">
        <f>F9-J9-N9</f>
        <v>1381.8699999999953</v>
      </c>
    </row>
    <row r="10" spans="1:18" ht="17.25" customHeight="1">
      <c r="A10" s="6"/>
      <c r="B10" s="7" t="s">
        <v>281</v>
      </c>
      <c r="C10" s="67"/>
      <c r="D10" s="209"/>
      <c r="E10" s="210"/>
      <c r="F10" s="209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</row>
    <row r="11" spans="1:18" ht="17.25" customHeight="1">
      <c r="A11" s="6">
        <v>1.3</v>
      </c>
      <c r="B11" s="7" t="s">
        <v>282</v>
      </c>
      <c r="C11" s="54" t="s">
        <v>279</v>
      </c>
      <c r="D11" s="62">
        <f>F11+E11</f>
        <v>608000</v>
      </c>
      <c r="E11" s="63"/>
      <c r="F11" s="62">
        <f>950000-342000</f>
        <v>608000</v>
      </c>
      <c r="G11" s="64">
        <f>I11+J11</f>
        <v>104013.07</v>
      </c>
      <c r="H11" s="76">
        <f>G11*100/D11</f>
        <v>17.107412828947368</v>
      </c>
      <c r="I11" s="64"/>
      <c r="J11" s="64">
        <f>28960.27+21012.8+54040</f>
        <v>104013.07</v>
      </c>
      <c r="K11" s="64">
        <f>M11+N11</f>
        <v>490723.47</v>
      </c>
      <c r="L11" s="64">
        <f>K11*100/D11</f>
        <v>80.71109703947369</v>
      </c>
      <c r="M11" s="64"/>
      <c r="N11" s="64">
        <f>452633.47+19000+19090</f>
        <v>490723.47</v>
      </c>
      <c r="O11" s="64">
        <f>D11-G11-K11</f>
        <v>13263.460000000021</v>
      </c>
      <c r="P11" s="64">
        <f>O11*100/D11</f>
        <v>2.181490131578951</v>
      </c>
      <c r="Q11" s="64">
        <f>E11-I11-M11</f>
        <v>0</v>
      </c>
      <c r="R11" s="64">
        <f>F11-J11-N11</f>
        <v>13263.460000000021</v>
      </c>
    </row>
    <row r="12" spans="1:18" ht="17.25" customHeight="1">
      <c r="A12" s="6"/>
      <c r="B12" s="7" t="s">
        <v>283</v>
      </c>
      <c r="C12" s="67"/>
      <c r="D12" s="68"/>
      <c r="E12" s="69"/>
      <c r="F12" s="68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7.25" customHeight="1">
      <c r="A13" s="6"/>
      <c r="B13" s="7" t="s">
        <v>53</v>
      </c>
      <c r="C13" s="67"/>
      <c r="D13" s="68"/>
      <c r="E13" s="69"/>
      <c r="F13" s="68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7.25" customHeight="1">
      <c r="A14" s="6"/>
      <c r="B14" s="7"/>
      <c r="C14" s="67"/>
      <c r="D14" s="68"/>
      <c r="E14" s="69"/>
      <c r="F14" s="68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7.25" customHeight="1">
      <c r="A15" s="16"/>
      <c r="B15" s="15"/>
      <c r="C15" s="51"/>
      <c r="D15" s="32"/>
      <c r="E15" s="33"/>
      <c r="F15" s="32"/>
      <c r="G15" s="34"/>
      <c r="H15" s="35"/>
      <c r="I15" s="34"/>
      <c r="J15" s="35"/>
      <c r="K15" s="34"/>
      <c r="L15" s="35"/>
      <c r="M15" s="34"/>
      <c r="N15" s="34"/>
      <c r="O15" s="34"/>
      <c r="P15" s="35"/>
      <c r="Q15" s="34"/>
      <c r="R15" s="34"/>
    </row>
    <row r="17" ht="18">
      <c r="B17" s="47" t="s">
        <v>285</v>
      </c>
    </row>
    <row r="19" ht="18">
      <c r="J19" s="1" t="s">
        <v>239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4.28125" style="1" customWidth="1"/>
    <col min="2" max="2" width="33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23" t="s">
        <v>288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customHeight="1">
      <c r="A2" s="224" t="s">
        <v>0</v>
      </c>
      <c r="B2" s="224" t="s">
        <v>1</v>
      </c>
      <c r="C2" s="225" t="s">
        <v>2</v>
      </c>
      <c r="D2" s="226" t="s">
        <v>3</v>
      </c>
      <c r="E2" s="226"/>
      <c r="F2" s="226"/>
      <c r="G2" s="226" t="s">
        <v>7</v>
      </c>
      <c r="H2" s="226"/>
      <c r="I2" s="226"/>
      <c r="J2" s="226"/>
      <c r="K2" s="226" t="s">
        <v>9</v>
      </c>
      <c r="L2" s="226"/>
      <c r="M2" s="226"/>
      <c r="N2" s="226"/>
      <c r="O2" s="226" t="s">
        <v>10</v>
      </c>
      <c r="P2" s="226"/>
      <c r="Q2" s="226"/>
      <c r="R2" s="226"/>
    </row>
    <row r="3" spans="1:18" ht="14.25" customHeight="1">
      <c r="A3" s="224"/>
      <c r="B3" s="224"/>
      <c r="C3" s="22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1235997.44</v>
      </c>
      <c r="E4" s="22">
        <f>SUM(E7)</f>
        <v>1199997.44</v>
      </c>
      <c r="F4" s="22">
        <f>SUM(F7)</f>
        <v>36000</v>
      </c>
      <c r="G4" s="24">
        <f>I4+J4</f>
        <v>1212294.79</v>
      </c>
      <c r="H4" s="24">
        <f>G4*100/D4</f>
        <v>98.08230589862711</v>
      </c>
      <c r="I4" s="22">
        <f>SUM(I7)</f>
        <v>1199997.44</v>
      </c>
      <c r="J4" s="22">
        <f>SUM(J7)</f>
        <v>12297.35</v>
      </c>
      <c r="K4" s="24">
        <f>M4+N4</f>
        <v>0</v>
      </c>
      <c r="L4" s="24">
        <f>K4*100/D4</f>
        <v>0</v>
      </c>
      <c r="M4" s="22">
        <f>SUM(M7)</f>
        <v>0</v>
      </c>
      <c r="N4" s="22">
        <f>SUM(N7)</f>
        <v>0</v>
      </c>
      <c r="O4" s="22">
        <f>Q4+R4</f>
        <v>23702.65</v>
      </c>
      <c r="P4" s="22">
        <f>O4*100/D4</f>
        <v>1.917694101372896</v>
      </c>
      <c r="Q4" s="22">
        <f>SUM(Q7)</f>
        <v>0</v>
      </c>
      <c r="R4" s="22">
        <f>SUM(R7)</f>
        <v>23702.65</v>
      </c>
    </row>
    <row r="5" spans="1:19" ht="20.25" customHeight="1">
      <c r="A5" s="25">
        <v>1</v>
      </c>
      <c r="B5" s="48" t="s">
        <v>287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s="217" customFormat="1" ht="18" customHeight="1">
      <c r="A6" s="6"/>
      <c r="B6" s="4" t="s">
        <v>266</v>
      </c>
      <c r="C6" s="212"/>
      <c r="D6" s="213"/>
      <c r="E6" s="214"/>
      <c r="F6" s="213"/>
      <c r="G6" s="215"/>
      <c r="H6" s="216"/>
      <c r="I6" s="215"/>
      <c r="J6" s="70"/>
      <c r="K6" s="215"/>
      <c r="L6" s="70"/>
      <c r="M6" s="215"/>
      <c r="N6" s="215"/>
      <c r="O6" s="70"/>
      <c r="P6" s="70"/>
      <c r="Q6" s="215"/>
      <c r="R6" s="70"/>
    </row>
    <row r="7" spans="1:18" s="217" customFormat="1" ht="18" customHeight="1">
      <c r="A7" s="6">
        <v>1.19</v>
      </c>
      <c r="B7" s="212" t="s">
        <v>267</v>
      </c>
      <c r="C7" s="218" t="s">
        <v>265</v>
      </c>
      <c r="D7" s="219">
        <f>F7+E7</f>
        <v>1235997.44</v>
      </c>
      <c r="E7" s="220">
        <v>1199997.44</v>
      </c>
      <c r="F7" s="219">
        <v>36000</v>
      </c>
      <c r="G7" s="221">
        <f>J7+I7</f>
        <v>1212294.79</v>
      </c>
      <c r="H7" s="222">
        <f>G7*100/D7</f>
        <v>98.08230589862711</v>
      </c>
      <c r="I7" s="64">
        <v>1199997.44</v>
      </c>
      <c r="J7" s="221">
        <v>12297.35</v>
      </c>
      <c r="K7" s="221">
        <f>N7+M7</f>
        <v>0</v>
      </c>
      <c r="L7" s="222">
        <f>K7*100/D7</f>
        <v>0</v>
      </c>
      <c r="M7" s="221"/>
      <c r="N7" s="221"/>
      <c r="O7" s="221">
        <f>D7-G7-K7</f>
        <v>23702.649999999907</v>
      </c>
      <c r="P7" s="221">
        <f>O7*100/D7</f>
        <v>1.9176941013728885</v>
      </c>
      <c r="Q7" s="76">
        <f>E7-I7-M7</f>
        <v>0</v>
      </c>
      <c r="R7" s="221">
        <f>F7-J7-N7</f>
        <v>23702.65</v>
      </c>
    </row>
    <row r="8" spans="1:18" s="217" customFormat="1" ht="18" customHeight="1">
      <c r="A8" s="6"/>
      <c r="B8" s="212" t="s">
        <v>268</v>
      </c>
      <c r="C8" s="212"/>
      <c r="D8" s="213"/>
      <c r="E8" s="214"/>
      <c r="F8" s="213"/>
      <c r="G8" s="215"/>
      <c r="H8" s="216"/>
      <c r="I8" s="215"/>
      <c r="J8" s="70"/>
      <c r="K8" s="215"/>
      <c r="L8" s="70"/>
      <c r="M8" s="215"/>
      <c r="N8" s="215"/>
      <c r="O8" s="70"/>
      <c r="P8" s="70"/>
      <c r="Q8" s="215"/>
      <c r="R8" s="70"/>
    </row>
    <row r="9" spans="1:18" s="217" customFormat="1" ht="18" customHeight="1">
      <c r="A9" s="6"/>
      <c r="B9" s="212" t="s">
        <v>269</v>
      </c>
      <c r="C9" s="212"/>
      <c r="D9" s="213"/>
      <c r="E9" s="214"/>
      <c r="F9" s="213"/>
      <c r="G9" s="215"/>
      <c r="H9" s="216"/>
      <c r="I9" s="215"/>
      <c r="J9" s="70"/>
      <c r="K9" s="215"/>
      <c r="L9" s="70"/>
      <c r="M9" s="215"/>
      <c r="N9" s="215"/>
      <c r="O9" s="70"/>
      <c r="P9" s="70"/>
      <c r="Q9" s="215"/>
      <c r="R9" s="70"/>
    </row>
    <row r="10" spans="1:18" ht="17.25" customHeight="1">
      <c r="A10" s="6"/>
      <c r="B10" s="7"/>
      <c r="C10" s="54"/>
      <c r="D10" s="62"/>
      <c r="E10" s="63"/>
      <c r="F10" s="62"/>
      <c r="G10" s="64"/>
      <c r="H10" s="76"/>
      <c r="I10" s="64"/>
      <c r="J10" s="64"/>
      <c r="K10" s="64"/>
      <c r="L10" s="76"/>
      <c r="M10" s="64"/>
      <c r="N10" s="64"/>
      <c r="O10" s="64"/>
      <c r="P10" s="64"/>
      <c r="Q10" s="64"/>
      <c r="R10" s="64"/>
    </row>
    <row r="11" spans="1:18" ht="17.25" customHeight="1">
      <c r="A11" s="6"/>
      <c r="B11" s="7"/>
      <c r="C11" s="67"/>
      <c r="D11" s="68"/>
      <c r="E11" s="69"/>
      <c r="F11" s="68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ht="17.25" customHeight="1">
      <c r="A12" s="6"/>
      <c r="B12" s="7"/>
      <c r="C12" s="67"/>
      <c r="D12" s="68"/>
      <c r="E12" s="69"/>
      <c r="F12" s="68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7.25" customHeight="1">
      <c r="A13" s="6"/>
      <c r="B13" s="7"/>
      <c r="C13" s="67"/>
      <c r="D13" s="68"/>
      <c r="E13" s="69"/>
      <c r="F13" s="68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7.25" customHeight="1">
      <c r="A14" s="16"/>
      <c r="B14" s="15"/>
      <c r="C14" s="51"/>
      <c r="D14" s="32"/>
      <c r="E14" s="33"/>
      <c r="F14" s="32"/>
      <c r="G14" s="34"/>
      <c r="H14" s="35"/>
      <c r="I14" s="34"/>
      <c r="J14" s="35"/>
      <c r="K14" s="34"/>
      <c r="L14" s="35"/>
      <c r="M14" s="34"/>
      <c r="N14" s="34"/>
      <c r="O14" s="34"/>
      <c r="P14" s="35"/>
      <c r="Q14" s="34"/>
      <c r="R14" s="34"/>
    </row>
    <row r="16" ht="18">
      <c r="B16" s="47"/>
    </row>
    <row r="18" ht="18">
      <c r="J18" s="1" t="s">
        <v>239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U16" sqref="U16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23" t="s">
        <v>289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customHeight="1">
      <c r="A2" s="224" t="s">
        <v>0</v>
      </c>
      <c r="B2" s="224" t="s">
        <v>1</v>
      </c>
      <c r="C2" s="225" t="s">
        <v>2</v>
      </c>
      <c r="D2" s="226" t="s">
        <v>3</v>
      </c>
      <c r="E2" s="226"/>
      <c r="F2" s="226"/>
      <c r="G2" s="226" t="s">
        <v>7</v>
      </c>
      <c r="H2" s="226"/>
      <c r="I2" s="226"/>
      <c r="J2" s="226"/>
      <c r="K2" s="226" t="s">
        <v>9</v>
      </c>
      <c r="L2" s="226"/>
      <c r="M2" s="226"/>
      <c r="N2" s="226"/>
      <c r="O2" s="226" t="s">
        <v>10</v>
      </c>
      <c r="P2" s="226"/>
      <c r="Q2" s="226"/>
      <c r="R2" s="226"/>
    </row>
    <row r="3" spans="1:18" ht="14.25" customHeight="1">
      <c r="A3" s="224"/>
      <c r="B3" s="224"/>
      <c r="C3" s="22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2555364.4699999997</v>
      </c>
      <c r="E4" s="22">
        <f>SUM(E7+E9+E11)</f>
        <v>0</v>
      </c>
      <c r="F4" s="22">
        <f>SUM(F7+F9+F11)</f>
        <v>2555364.4699999997</v>
      </c>
      <c r="G4" s="24">
        <f>I4+J4</f>
        <v>2544329.52</v>
      </c>
      <c r="H4" s="24">
        <f>G4*100/D4</f>
        <v>99.56816531929006</v>
      </c>
      <c r="I4" s="22">
        <f>SUM(I7+I9+I11)</f>
        <v>0</v>
      </c>
      <c r="J4" s="22">
        <f>SUM(J7+J9+J11)</f>
        <v>2544329.52</v>
      </c>
      <c r="K4" s="24">
        <f>M4+N4</f>
        <v>0</v>
      </c>
      <c r="L4" s="24">
        <f>K4*100/D4</f>
        <v>0</v>
      </c>
      <c r="M4" s="22">
        <f>SUM(M7+M9+M11)</f>
        <v>0</v>
      </c>
      <c r="N4" s="22">
        <f>SUM(N7+N9+N11)</f>
        <v>0</v>
      </c>
      <c r="O4" s="22">
        <f>Q4+R4</f>
        <v>11034.95000000007</v>
      </c>
      <c r="P4" s="22">
        <f>O4*100/D4</f>
        <v>0.43183468070995257</v>
      </c>
      <c r="Q4" s="22">
        <f>SUM(Q7+Q9+Q11)</f>
        <v>0</v>
      </c>
      <c r="R4" s="22">
        <f>SUM(R7+R9+R11)</f>
        <v>11034.95000000007</v>
      </c>
    </row>
    <row r="5" spans="1:19" ht="20.25" customHeight="1">
      <c r="A5" s="25">
        <v>1</v>
      </c>
      <c r="B5" s="48" t="s">
        <v>275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276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1.1</v>
      </c>
      <c r="B7" s="3" t="s">
        <v>277</v>
      </c>
      <c r="C7" s="54" t="s">
        <v>279</v>
      </c>
      <c r="D7" s="62">
        <f>F7+E7</f>
        <v>835107.94</v>
      </c>
      <c r="E7" s="63"/>
      <c r="F7" s="62">
        <f>451107.94+384000</f>
        <v>835107.94</v>
      </c>
      <c r="G7" s="64">
        <f>I7+J7</f>
        <v>834783.19</v>
      </c>
      <c r="H7" s="76">
        <f>G7*100/D7</f>
        <v>99.96111281135707</v>
      </c>
      <c r="I7" s="64"/>
      <c r="J7" s="64">
        <f>6680+11280+95155+94598.45+45492.94+92581.35+86726.15+90457.8+292500+19311.5</f>
        <v>834783.19</v>
      </c>
      <c r="K7" s="64">
        <f>M7+N7</f>
        <v>0</v>
      </c>
      <c r="L7" s="76">
        <f>K7*100/D7</f>
        <v>0</v>
      </c>
      <c r="M7" s="64"/>
      <c r="N7" s="64"/>
      <c r="O7" s="64">
        <f>D7-G7-K7</f>
        <v>324.75</v>
      </c>
      <c r="P7" s="64">
        <f>O7*100/D7</f>
        <v>0.03888718864294357</v>
      </c>
      <c r="Q7" s="64">
        <f>E7-I7-M7</f>
        <v>0</v>
      </c>
      <c r="R7" s="64">
        <f>F7-J7-N7</f>
        <v>324.75</v>
      </c>
    </row>
    <row r="8" spans="1:18" ht="17.25" customHeight="1">
      <c r="A8" s="6"/>
      <c r="B8" s="7" t="s">
        <v>278</v>
      </c>
      <c r="C8" s="67"/>
      <c r="D8" s="209"/>
      <c r="E8" s="210"/>
      <c r="F8" s="20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ht="17.25" customHeight="1">
      <c r="A9" s="6">
        <v>1.2</v>
      </c>
      <c r="B9" s="7" t="s">
        <v>280</v>
      </c>
      <c r="C9" s="54" t="s">
        <v>279</v>
      </c>
      <c r="D9" s="62">
        <f>F9+E9</f>
        <v>887533.06</v>
      </c>
      <c r="E9" s="63"/>
      <c r="F9" s="62">
        <f>435381.06+452152</f>
        <v>887533.06</v>
      </c>
      <c r="G9" s="64">
        <f>I9+J9</f>
        <v>876867.5599999999</v>
      </c>
      <c r="H9" s="76">
        <f>G9*100/D9</f>
        <v>98.7982982853619</v>
      </c>
      <c r="I9" s="64"/>
      <c r="J9" s="64">
        <f>20000+116717+113707.95+221444.06+101341.9+101162.35+105534.1+77220+19740.2</f>
        <v>876867.5599999999</v>
      </c>
      <c r="K9" s="64">
        <f>M9+N9</f>
        <v>0</v>
      </c>
      <c r="L9" s="64">
        <f>K9*100/D9</f>
        <v>0</v>
      </c>
      <c r="M9" s="64"/>
      <c r="N9" s="64"/>
      <c r="O9" s="64">
        <f>D9-G9-K9</f>
        <v>10665.500000000116</v>
      </c>
      <c r="P9" s="64">
        <f>O9*100/D9</f>
        <v>1.2017017146381135</v>
      </c>
      <c r="Q9" s="64">
        <f>E9-I9-M9</f>
        <v>0</v>
      </c>
      <c r="R9" s="64">
        <f>F9-J9-N9</f>
        <v>10665.500000000116</v>
      </c>
    </row>
    <row r="10" spans="1:18" ht="17.25" customHeight="1">
      <c r="A10" s="6"/>
      <c r="B10" s="7" t="s">
        <v>281</v>
      </c>
      <c r="C10" s="67"/>
      <c r="D10" s="209"/>
      <c r="E10" s="210"/>
      <c r="F10" s="209"/>
      <c r="G10" s="211"/>
      <c r="H10" s="211"/>
      <c r="I10" s="211"/>
      <c r="J10" s="211"/>
      <c r="K10" s="211"/>
      <c r="L10" s="211"/>
      <c r="M10" s="211"/>
      <c r="N10" s="211" t="s">
        <v>239</v>
      </c>
      <c r="O10" s="211"/>
      <c r="P10" s="211"/>
      <c r="Q10" s="211"/>
      <c r="R10" s="211"/>
    </row>
    <row r="11" spans="1:18" ht="17.25" customHeight="1">
      <c r="A11" s="6">
        <v>1.3</v>
      </c>
      <c r="B11" s="7" t="s">
        <v>282</v>
      </c>
      <c r="C11" s="54" t="s">
        <v>279</v>
      </c>
      <c r="D11" s="62">
        <f>F11+E11</f>
        <v>832723.47</v>
      </c>
      <c r="E11" s="63"/>
      <c r="F11" s="62">
        <f>490723.47+342000</f>
        <v>832723.47</v>
      </c>
      <c r="G11" s="64">
        <f>I11+J11</f>
        <v>832678.77</v>
      </c>
      <c r="H11" s="76">
        <f>G11*100/D11</f>
        <v>99.99463207155672</v>
      </c>
      <c r="I11" s="64"/>
      <c r="J11" s="64">
        <f>19000+19090+452633.47+88315.55+84678.2+88712.4+80249.15</f>
        <v>832678.77</v>
      </c>
      <c r="K11" s="64">
        <f>M11+N11</f>
        <v>0</v>
      </c>
      <c r="L11" s="76">
        <f>K11*100/D11</f>
        <v>0</v>
      </c>
      <c r="M11" s="64"/>
      <c r="N11" s="64"/>
      <c r="O11" s="64">
        <f>D11-G11-K11</f>
        <v>44.699999999953434</v>
      </c>
      <c r="P11" s="64">
        <f>O11*100/D11</f>
        <v>0.005367928443274625</v>
      </c>
      <c r="Q11" s="64">
        <f>E11-I11-M11</f>
        <v>0</v>
      </c>
      <c r="R11" s="64">
        <f>F11-J11-N11</f>
        <v>44.699999999953434</v>
      </c>
    </row>
    <row r="12" spans="1:18" ht="17.25" customHeight="1">
      <c r="A12" s="6"/>
      <c r="B12" s="7" t="s">
        <v>283</v>
      </c>
      <c r="C12" s="67"/>
      <c r="D12" s="68"/>
      <c r="E12" s="69"/>
      <c r="F12" s="68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7.25" customHeight="1">
      <c r="A13" s="6"/>
      <c r="B13" s="7" t="s">
        <v>53</v>
      </c>
      <c r="C13" s="67"/>
      <c r="D13" s="68"/>
      <c r="E13" s="69"/>
      <c r="F13" s="68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7.25" customHeight="1">
      <c r="A14" s="6"/>
      <c r="B14" s="7"/>
      <c r="C14" s="67"/>
      <c r="D14" s="68"/>
      <c r="E14" s="69"/>
      <c r="F14" s="68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7.25" customHeight="1">
      <c r="A15" s="16"/>
      <c r="B15" s="15"/>
      <c r="C15" s="51"/>
      <c r="D15" s="32"/>
      <c r="E15" s="33"/>
      <c r="F15" s="32"/>
      <c r="G15" s="34"/>
      <c r="H15" s="35"/>
      <c r="I15" s="34"/>
      <c r="J15" s="35"/>
      <c r="K15" s="34"/>
      <c r="L15" s="35"/>
      <c r="M15" s="34"/>
      <c r="N15" s="34"/>
      <c r="O15" s="34"/>
      <c r="P15" s="35"/>
      <c r="Q15" s="34"/>
      <c r="R15" s="34"/>
    </row>
    <row r="17" ht="18">
      <c r="B17" s="47"/>
    </row>
    <row r="19" ht="18">
      <c r="J19" s="1" t="s">
        <v>239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HP</cp:lastModifiedBy>
  <cp:lastPrinted>2020-02-04T05:42:07Z</cp:lastPrinted>
  <dcterms:created xsi:type="dcterms:W3CDTF">2009-12-25T03:29:35Z</dcterms:created>
  <dcterms:modified xsi:type="dcterms:W3CDTF">2020-02-04T05:42:49Z</dcterms:modified>
  <cp:category/>
  <cp:version/>
  <cp:contentType/>
  <cp:contentStatus/>
</cp:coreProperties>
</file>