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<sst xmlns="http://schemas.openxmlformats.org/spreadsheetml/2006/main" count="419" uniqueCount="209">
  <si>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</si>
  <si>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</si>
  <si>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</si>
  <si>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</si>
  <si>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</si>
  <si>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</si>
  <si>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</si>
  <si>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</si>
  <si>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</si>
  <si>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</si>
  <si>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</si>
  <si>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</si>
  <si>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</si>
  <si>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</si>
  <si>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</si>
  <si>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</si>
  <si>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</si>
  <si>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</si>
  <si>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</si>
  <si>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</si>
  <si>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</si>
  <si>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</si>
  <si>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</si>
  <si>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</si>
  <si>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</si>
  <si>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</si>
  <si>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</si>
  <si>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</si>
  <si>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</si>
  <si>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</si>
  <si>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</si>
  <si>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</si>
  <si>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</si>
  <si>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</si>
  <si>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</si>
  <si>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</si>
  <si>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</si>
  <si>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</si>
  <si>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</si>
  <si>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</si>
  <si>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</si>
  <si>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</si>
  <si>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</si>
  <si>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</si>
  <si>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</si>
  <si>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</si>
  <si>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</si>
  <si>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</si>
  <si>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</si>
  <si>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</si>
  <si>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</si>
  <si>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</si>
  <si>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</si>
  <si>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</si>
  <si>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</si>
  <si>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</si>
  <si>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</si>
  <si>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</si>
  <si>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</si>
  <si>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</si>
  <si>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</si>
  <si>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</si>
  <si>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</si>
  <si>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</si>
  <si>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</si>
  <si>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</si>
  <si>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</si>
  <si>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</si>
  <si>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</si>
  <si>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</si>
  <si>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</si>
  <si>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</si>
  <si>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</si>
  <si>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</si>
  <si>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</si>
  <si>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</si>
  <si>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</si>
  <si>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</si>
  <si>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</si>
  <si>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</si>
  <si>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</si>
  <si>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</si>
  <si>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</si>
  <si>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</si>
  <si>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</si>
  <si>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</si>
  <si>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</si>
  <si>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</si>
  <si>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</si>
  <si>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</si>
  <si>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</si>
  <si>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</si>
  <si>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</si>
  <si>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</si>
  <si>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</si>
  <si>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</si>
  <si>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</si>
  <si>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</si>
  <si>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</si>
  <si>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</si>
  <si>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</si>
  <si>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</si>
  <si>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</si>
  <si>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</si>
  <si>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</si>
  <si>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</si>
  <si>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</si>
  <si>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</si>
  <si>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</si>
  <si>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</si>
  <si>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</si>
  <si>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</si>
  <si>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</si>
  <si>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</si>
  <si>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</si>
  <si>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</si>
  <si>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</si>
  <si>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</si>
  <si>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</si>
  <si>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</si>
  <si>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</si>
  <si>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</si>
  <si>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</si>
  <si>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</si>
  <si>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</si>
  <si>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</si>
  <si>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</si>
  <si>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</si>
  <si>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</si>
  <si>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</si>
  <si>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</si>
  <si>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</si>
  <si>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</si>
  <si>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</si>
  <si>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</si>
  <si>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</si>
  <si>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</si>
  <si>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</si>
  <si>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</si>
  <si>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</si>
  <si>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</si>
  <si>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</si>
  <si>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</si>
  <si>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</si>
  <si>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</si>
  <si>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</si>
  <si>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</si>
  <si>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</si>
  <si>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</si>
  <si>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</si>
  <si>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</si>
  <si>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</si>
  <si>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</si>
  <si>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</si>
  <si>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</si>
  <si>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</si>
  <si>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</si>
  <si>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</si>
  <si>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</si>
  <si>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</si>
  <si>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</si>
  <si>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</si>
  <si>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</si>
  <si>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</si>
  <si>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</si>
  <si>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</si>
  <si>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</si>
  <si>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</si>
  <si>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</si>
  <si>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</si>
  <si>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</si>
  <si>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</si>
  <si>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</si>
  <si>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</si>
  <si>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</si>
  <si>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</si>
  <si>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</si>
  <si>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</si>
  <si>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</si>
  <si>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</si>
  <si>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</si>
  <si>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</si>
  <si>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</si>
  <si>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</si>
  <si>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</si>
  <si>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</si>
  <si>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</si>
  <si>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</si>
  <si>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</si>
  <si>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</si>
  <si>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</si>
  <si>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</si>
  <si>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</si>
  <si>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</si>
  <si>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</si>
  <si>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</si>
  <si>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</si>
  <si>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</si>
  <si>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</si>
  <si>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</si>
  <si>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</si>
  <si>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</si>
  <si>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</si>
  <si>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14 พ.ย.60</t>
  </si>
  <si>
    <t>ซ่อมแซมสะพานท่อส่งน้ำแยกซอยจากคลองสายใหญ่</t>
  </si>
  <si>
    <t>ฝั่งซ้ายกิ่วคอหมาทรุดตัว จังหวัดลำปาง</t>
  </si>
  <si>
    <t>26 ก.พ.61</t>
  </si>
  <si>
    <t>รหัสงบประมาณ   0700345052420088</t>
  </si>
  <si>
    <t>รายงานผลการเบิกจ่าย  โครงการส่งน้ำและบำรุงรักษากิ่วลม-กิ่วคอหมา  ณ วันที่  31 มี.ค.  2561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</si>
</sst>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19" fillId="33" borderId="18" xfId="33" applyFont="1" applyFill="1" applyBorder="1" applyAlignment="1">
      <alignment/>
    </xf>
    <xf numFmtId="194" fontId="17" fillId="33" borderId="10" xfId="33" applyFont="1" applyFill="1" applyBorder="1" applyAlignment="1">
      <alignment/>
    </xf>
    <xf numFmtId="194" fontId="19" fillId="34" borderId="10" xfId="0" applyNumberFormat="1" applyFont="1" applyFill="1" applyBorder="1" applyAlignment="1">
      <alignment/>
    </xf>
    <xf numFmtId="204" fontId="19" fillId="33" borderId="18" xfId="0" applyNumberFormat="1" applyFont="1" applyFill="1" applyBorder="1" applyAlignment="1">
      <alignment horizontal="right"/>
    </xf>
    <xf numFmtId="204" fontId="19" fillId="33" borderId="18" xfId="0" applyNumberFormat="1" applyFont="1" applyFill="1" applyBorder="1" applyAlignment="1">
      <alignment/>
    </xf>
    <xf numFmtId="194" fontId="19" fillId="33" borderId="18" xfId="0" applyNumberFormat="1" applyFont="1" applyFill="1" applyBorder="1" applyAlignment="1">
      <alignment/>
    </xf>
    <xf numFmtId="194" fontId="25" fillId="33" borderId="13" xfId="0" applyNumberFormat="1" applyFont="1" applyFill="1" applyBorder="1" applyAlignment="1">
      <alignment/>
    </xf>
    <xf numFmtId="194" fontId="25" fillId="33" borderId="18" xfId="33" applyFont="1" applyFill="1" applyBorder="1" applyAlignment="1">
      <alignment/>
    </xf>
    <xf numFmtId="0" fontId="16" fillId="34" borderId="11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194" fontId="25" fillId="33" borderId="10" xfId="0" applyNumberFormat="1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04" t="s">
        <v>76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5.75" customHeight="1">
      <c r="A2" s="205" t="s">
        <v>0</v>
      </c>
      <c r="B2" s="205" t="s">
        <v>1</v>
      </c>
      <c r="C2" s="206" t="s">
        <v>2</v>
      </c>
      <c r="D2" s="207" t="s">
        <v>3</v>
      </c>
      <c r="E2" s="207"/>
      <c r="F2" s="207"/>
      <c r="G2" s="207" t="s">
        <v>7</v>
      </c>
      <c r="H2" s="207"/>
      <c r="I2" s="207"/>
      <c r="J2" s="207"/>
      <c r="K2" s="207" t="s">
        <v>9</v>
      </c>
      <c r="L2" s="207"/>
      <c r="M2" s="207"/>
      <c r="N2" s="207"/>
      <c r="O2" s="207" t="s">
        <v>10</v>
      </c>
      <c r="P2" s="207"/>
      <c r="Q2" s="207"/>
      <c r="R2" s="207"/>
    </row>
    <row r="3" spans="1:18" ht="14.25" customHeight="1">
      <c r="A3" s="205"/>
      <c r="B3" s="205"/>
      <c r="C3" s="206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04" t="s">
        <v>78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5.75" customHeight="1">
      <c r="A2" s="205" t="s">
        <v>0</v>
      </c>
      <c r="B2" s="205" t="s">
        <v>1</v>
      </c>
      <c r="C2" s="206" t="s">
        <v>2</v>
      </c>
      <c r="D2" s="207" t="s">
        <v>3</v>
      </c>
      <c r="E2" s="207"/>
      <c r="F2" s="207"/>
      <c r="G2" s="207" t="s">
        <v>7</v>
      </c>
      <c r="H2" s="207"/>
      <c r="I2" s="207"/>
      <c r="J2" s="207"/>
      <c r="K2" s="207" t="s">
        <v>9</v>
      </c>
      <c r="L2" s="207"/>
      <c r="M2" s="207"/>
      <c r="N2" s="207"/>
      <c r="O2" s="207" t="s">
        <v>10</v>
      </c>
      <c r="P2" s="207"/>
      <c r="Q2" s="207"/>
      <c r="R2" s="207"/>
    </row>
    <row r="3" spans="1:18" ht="14.25" customHeight="1">
      <c r="A3" s="205"/>
      <c r="B3" s="205"/>
      <c r="C3" s="206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120" zoomScaleNormal="120" zoomScalePageLayoutView="0" workbookViewId="0" topLeftCell="A1">
      <pane ySplit="4" topLeftCell="A71" activePane="bottomLeft" state="frozen"/>
      <selection pane="topLeft" activeCell="A1" sqref="A1"/>
      <selection pane="bottomLeft" activeCell="J75" sqref="J75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208" t="s">
        <v>208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ht="15.75" customHeight="1">
      <c r="A2" s="209" t="s">
        <v>0</v>
      </c>
      <c r="B2" s="209" t="s">
        <v>1</v>
      </c>
      <c r="C2" s="210" t="s">
        <v>2</v>
      </c>
      <c r="D2" s="211" t="s">
        <v>3</v>
      </c>
      <c r="E2" s="211"/>
      <c r="F2" s="211"/>
      <c r="G2" s="211" t="s">
        <v>7</v>
      </c>
      <c r="H2" s="211"/>
      <c r="I2" s="211"/>
      <c r="J2" s="211"/>
      <c r="K2" s="211" t="s">
        <v>9</v>
      </c>
      <c r="L2" s="211"/>
      <c r="M2" s="211"/>
      <c r="N2" s="211"/>
      <c r="O2" s="211" t="s">
        <v>10</v>
      </c>
      <c r="P2" s="211"/>
      <c r="Q2" s="211"/>
      <c r="R2" s="211"/>
    </row>
    <row r="3" spans="1:18" ht="14.25" customHeight="1">
      <c r="A3" s="209"/>
      <c r="B3" s="209"/>
      <c r="C3" s="210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134768700</v>
      </c>
      <c r="E4" s="113">
        <f>SUM(E64+E101+E107+E121)</f>
        <v>2896900</v>
      </c>
      <c r="F4" s="113">
        <f>SUM(F64+F101+F107+F121)</f>
        <v>131871800</v>
      </c>
      <c r="G4" s="115">
        <f>I4+J4</f>
        <v>61992796.07000001</v>
      </c>
      <c r="H4" s="115">
        <f>G4*100/D4</f>
        <v>45.99940199022474</v>
      </c>
      <c r="I4" s="113">
        <f>SUM(I64+I101+I107+I121)</f>
        <v>0</v>
      </c>
      <c r="J4" s="113">
        <f>SUM(J64+J101+J107+J121)</f>
        <v>61992796.07000001</v>
      </c>
      <c r="K4" s="115">
        <f>M4+N4</f>
        <v>24532623.129999995</v>
      </c>
      <c r="L4" s="115">
        <f>K4*100/D4</f>
        <v>18.203502096555056</v>
      </c>
      <c r="M4" s="113">
        <f>SUM(M64+M101+M107+M121)</f>
        <v>2614719.56</v>
      </c>
      <c r="N4" s="113">
        <f>SUM(N64+N101+N107+N121)</f>
        <v>21917903.569999997</v>
      </c>
      <c r="O4" s="113">
        <f>Q4+R4</f>
        <v>48243280.8</v>
      </c>
      <c r="P4" s="113">
        <f>O4*100/D4</f>
        <v>35.797095913220204</v>
      </c>
      <c r="Q4" s="113">
        <f>SUM(Q64+Q101+Q107+Q121)</f>
        <v>282180.43999999994</v>
      </c>
      <c r="R4" s="113">
        <f>SUM(R64+R101+R107+R121)</f>
        <v>47961100.36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147714.91</v>
      </c>
      <c r="H7" s="99">
        <f>G7*100/D7</f>
        <v>36.9287275</v>
      </c>
      <c r="I7" s="91"/>
      <c r="J7" s="92">
        <f>16590+33540+97584.91</f>
        <v>147714.91</v>
      </c>
      <c r="K7" s="91">
        <f>N7+M7</f>
        <v>0</v>
      </c>
      <c r="L7" s="116">
        <f>K7*100/D7</f>
        <v>0</v>
      </c>
      <c r="M7" s="91"/>
      <c r="N7" s="91"/>
      <c r="O7" s="91">
        <f>D7-G7-K7</f>
        <v>252285.09</v>
      </c>
      <c r="P7" s="92">
        <f>O7*100/D7</f>
        <v>63.0712725</v>
      </c>
      <c r="Q7" s="91">
        <f>E7-I7-M7</f>
        <v>0</v>
      </c>
      <c r="R7" s="92">
        <f>F7-J7-N7</f>
        <v>252285.09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2435987.22</v>
      </c>
      <c r="H10" s="99">
        <f>G10*100/D10</f>
        <v>49.05231912365841</v>
      </c>
      <c r="I10" s="91"/>
      <c r="J10" s="92">
        <f>264457.9+145758.9+272283.3+19873.35+13248.9+55000+66067.5+63022+438228+60961.2+19798+9560+79984+399044.25+60263+60862.62+343552.05+33122.25+30900</f>
        <v>2435987.22</v>
      </c>
      <c r="K10" s="91">
        <f>N10+M10</f>
        <v>41045</v>
      </c>
      <c r="L10" s="116">
        <f>K10*100/D10</f>
        <v>0.8265036950524557</v>
      </c>
      <c r="M10" s="91"/>
      <c r="N10" s="91">
        <f>66067.5+63063-66067.5-60961.2+60263-2101.8+24027+63063-60263-63063+17018</f>
        <v>41045</v>
      </c>
      <c r="O10" s="91">
        <f>D10-G10-K10</f>
        <v>2489067.78</v>
      </c>
      <c r="P10" s="92">
        <f>O10*100/D10</f>
        <v>50.121177181289134</v>
      </c>
      <c r="Q10" s="91">
        <f>E10-I10-M10</f>
        <v>0</v>
      </c>
      <c r="R10" s="92">
        <f>F10-J10-N10</f>
        <v>2489067.78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117">
        <f>F15+E15</f>
        <v>1000000</v>
      </c>
      <c r="E15" s="98">
        <v>400000</v>
      </c>
      <c r="F15" s="117">
        <v>600000</v>
      </c>
      <c r="G15" s="92">
        <f>J15+I15</f>
        <v>299106.62</v>
      </c>
      <c r="H15" s="99">
        <f>G15*100/D15</f>
        <v>29.910662</v>
      </c>
      <c r="I15" s="91"/>
      <c r="J15" s="92">
        <f>27908.74+14782.1+8760+18990+29021.4+165926.7+33717.68</f>
        <v>299106.62</v>
      </c>
      <c r="K15" s="92">
        <f>N15+M15</f>
        <v>233796.44</v>
      </c>
      <c r="L15" s="99">
        <f>K15*100/D15</f>
        <v>23.379644</v>
      </c>
      <c r="M15" s="92">
        <f>99800+100000</f>
        <v>199800</v>
      </c>
      <c r="N15" s="92">
        <f>33996.44</f>
        <v>33996.44</v>
      </c>
      <c r="O15" s="92">
        <f>D15-G15-K15</f>
        <v>467096.94</v>
      </c>
      <c r="P15" s="92">
        <f>O15*100/D15</f>
        <v>46.709694</v>
      </c>
      <c r="Q15" s="92">
        <f>E15-I15-M15</f>
        <v>200200</v>
      </c>
      <c r="R15" s="91">
        <f>F15-J15-N15</f>
        <v>266896.94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939166.03</v>
      </c>
      <c r="H18" s="99">
        <f>G18*100/D18</f>
        <v>93.916603</v>
      </c>
      <c r="I18" s="91"/>
      <c r="J18" s="92">
        <f>83290.8+21632.4+132720+68442+27898+98865+112981.05+21811.2+11310+40427.55+24796.8+164725.84+36460.48+38502+9796.8+42357.1+3149.01</f>
        <v>939166.03</v>
      </c>
      <c r="K18" s="92">
        <f>N18+M18</f>
        <v>50512.04999999999</v>
      </c>
      <c r="L18" s="99">
        <f>K18*100/D18</f>
        <v>5.0512049999999995</v>
      </c>
      <c r="M18" s="92"/>
      <c r="N18" s="92">
        <f>21811.2+164725.84+15000+9796.8-21811.2+9796.8-24796.8-164725.84+7500+10297.7-9796.8+5706+16150+10858.35</f>
        <v>50512.04999999999</v>
      </c>
      <c r="O18" s="92">
        <f>D18-G18-K18</f>
        <v>10321.919999999984</v>
      </c>
      <c r="P18" s="92">
        <f>O18*100/D18</f>
        <v>1.0321919999999984</v>
      </c>
      <c r="Q18" s="92">
        <f>E18-I18-M18</f>
        <v>0</v>
      </c>
      <c r="R18" s="92">
        <f>F18-J18-N18</f>
        <v>10321.919999999984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468793.7</v>
      </c>
      <c r="H22" s="99">
        <f>G22*100/D22</f>
        <v>93.75874</v>
      </c>
      <c r="I22" s="91"/>
      <c r="J22" s="92">
        <f>3479+35900+7652.6+15000+7305.3+90000+16425.2+6165+15566.6+34860+13000+49550+43390+13000+117500</f>
        <v>468793.7</v>
      </c>
      <c r="K22" s="92">
        <f>N22+M22</f>
        <v>31192.75</v>
      </c>
      <c r="L22" s="116">
        <f>K22*100/D22</f>
        <v>6.23855</v>
      </c>
      <c r="M22" s="91"/>
      <c r="N22" s="92">
        <f>29000-15000+2425.2+39000-16425.2-13000-13000+18192.75</f>
        <v>31192.75</v>
      </c>
      <c r="O22" s="92">
        <f>D22-G22-K22</f>
        <v>13.549999999988358</v>
      </c>
      <c r="P22" s="92">
        <f>O22*100/D22</f>
        <v>0.0027099999999976717</v>
      </c>
      <c r="Q22" s="92">
        <f>E22-I22-M22</f>
        <v>0</v>
      </c>
      <c r="R22" s="92">
        <f>F22-J22-N22</f>
        <v>13.549999999988358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1636957.13</v>
      </c>
      <c r="H26" s="99">
        <f>G26*100/D26</f>
        <v>96.29159588235294</v>
      </c>
      <c r="I26" s="91"/>
      <c r="J26" s="92">
        <f>6958+98462+53980+10382+70832.4+9162.41+15120+90465+10561.44+3360+66244.5+9621+99700+53980+14320+4463+13900+95269.9+61027+429250+14408.8+4170.33+98980+99682.2+60036+109476.15+33145</f>
        <v>1636957.13</v>
      </c>
      <c r="K26" s="91">
        <f>N26+M26</f>
        <v>63024.6</v>
      </c>
      <c r="L26" s="116">
        <f>K26*100/D26</f>
        <v>3.707329411764706</v>
      </c>
      <c r="M26" s="91"/>
      <c r="N26" s="91">
        <f>22380+7060-15120+60000+10000-14320+111108-61027-60036+2979.6</f>
        <v>63024.6</v>
      </c>
      <c r="O26" s="92">
        <f>D26-G26-K26</f>
        <v>18.270000000113214</v>
      </c>
      <c r="P26" s="92">
        <f>O26*100/D26</f>
        <v>0.0010747058823596008</v>
      </c>
      <c r="Q26" s="92">
        <f>E26-I26-M26</f>
        <v>0</v>
      </c>
      <c r="R26" s="92">
        <f>F26-J26-N26</f>
        <v>18.270000000113214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1452634.24</v>
      </c>
      <c r="H30" s="99">
        <f>G30*100/D30</f>
        <v>96.84228266666666</v>
      </c>
      <c r="I30" s="91"/>
      <c r="J30" s="92">
        <f>2054+5455+41645.4+97721+16613.36+54780+206038.8+87315.2+178594+143547.75+20212.23+379837+26440+121164.2+18433+25236+4204+23343.3</f>
        <v>1452634.24</v>
      </c>
      <c r="K30" s="91">
        <f>N30+M30</f>
        <v>47349.3</v>
      </c>
      <c r="L30" s="116">
        <f>K30*100/D30</f>
        <v>3.15662</v>
      </c>
      <c r="M30" s="91"/>
      <c r="N30" s="91">
        <f>84890+2425.2+8000+113164.2-87315.2-121164.2+45000+2349.3</f>
        <v>47349.3</v>
      </c>
      <c r="O30" s="92">
        <f>D30-G30-K30</f>
        <v>16.460000000006403</v>
      </c>
      <c r="P30" s="92">
        <f>O30*100/D30</f>
        <v>0.0010973333333337601</v>
      </c>
      <c r="Q30" s="92">
        <f>E30-I30-M30</f>
        <v>0</v>
      </c>
      <c r="R30" s="92">
        <f>F30-J30-N30</f>
        <v>16.460000000006403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>
        <v>104000</v>
      </c>
      <c r="F34" s="117">
        <v>896000</v>
      </c>
      <c r="G34" s="92">
        <f>J34+I34</f>
        <v>540149.27</v>
      </c>
      <c r="H34" s="99">
        <f>G34*100/D34</f>
        <v>54.014927</v>
      </c>
      <c r="I34" s="91"/>
      <c r="J34" s="92">
        <f>49302+33122.25+14596.32+90991+87360+5000+33122.25+15000+37854+4026+68510+101265.45</f>
        <v>540149.27</v>
      </c>
      <c r="K34" s="92">
        <f>N34+M34</f>
        <v>179204.44</v>
      </c>
      <c r="L34" s="99">
        <f>K34*100/D34</f>
        <v>17.920444</v>
      </c>
      <c r="M34" s="92">
        <f>89107.24</f>
        <v>89107.24</v>
      </c>
      <c r="N34" s="92">
        <f>15000+68510-15000+90097.2-68510</f>
        <v>90097.20000000001</v>
      </c>
      <c r="O34" s="92">
        <f>D34-G34-K34</f>
        <v>280646.29</v>
      </c>
      <c r="P34" s="92">
        <f>O34*100/D34</f>
        <v>28.064628999999996</v>
      </c>
      <c r="Q34" s="92">
        <f>E34-I34-M34</f>
        <v>14892.759999999995</v>
      </c>
      <c r="R34" s="92">
        <f>F34-J34-N34</f>
        <v>265753.52999999997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>
        <v>493000</v>
      </c>
      <c r="F38" s="117">
        <v>1007000</v>
      </c>
      <c r="G38" s="92">
        <f>J38+I38</f>
        <v>641140.8099999999</v>
      </c>
      <c r="H38" s="99">
        <f>G38*100/D38</f>
        <v>42.74272066666666</v>
      </c>
      <c r="I38" s="91"/>
      <c r="J38" s="92">
        <f>49302+33122.25+29433.16+96423+87360+5000+40427.55+2987.8+30899.35+1987.8+8265+127410+128522.9</f>
        <v>641140.8099999999</v>
      </c>
      <c r="K38" s="92">
        <f>N38+M38</f>
        <v>657804.99</v>
      </c>
      <c r="L38" s="99">
        <f>K38*100/D38</f>
        <v>43.853666</v>
      </c>
      <c r="M38" s="92">
        <f>487141.59</f>
        <v>487141.59</v>
      </c>
      <c r="N38" s="92">
        <f>127410+8987.8-2987.8+15000+11500-1987.8+140151.2-127410</f>
        <v>170663.40000000002</v>
      </c>
      <c r="O38" s="92">
        <f>D38-G38-K38</f>
        <v>201054.20000000007</v>
      </c>
      <c r="P38" s="92">
        <f>O38*100/D38</f>
        <v>13.403613333333338</v>
      </c>
      <c r="Q38" s="92">
        <f>E38-I38-M38</f>
        <v>5858.409999999974</v>
      </c>
      <c r="R38" s="92">
        <f>F38-J38-N38</f>
        <v>195195.79000000004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>
        <v>446000</v>
      </c>
      <c r="F42" s="117">
        <v>1054000</v>
      </c>
      <c r="G42" s="92">
        <f>J42+I42</f>
        <v>677976.9600000001</v>
      </c>
      <c r="H42" s="99">
        <f>G42*100/D42</f>
        <v>45.19846400000001</v>
      </c>
      <c r="I42" s="91"/>
      <c r="J42" s="92">
        <f>10956+26497.8+14410+29433.16+96878+87360+5000+33803.1+39043.15+2987.8+44811+2987.8+188140+95669.15</f>
        <v>677976.9600000001</v>
      </c>
      <c r="K42" s="91">
        <f>N42+M42</f>
        <v>485272.53</v>
      </c>
      <c r="L42" s="116">
        <f>K42*100/D42</f>
        <v>32.351502</v>
      </c>
      <c r="M42" s="92">
        <v>438899.75</v>
      </c>
      <c r="N42" s="91">
        <f>188140+8987.8-2987.8-2987.8+20021.6-188140+21560+1778.98</f>
        <v>46372.78000000002</v>
      </c>
      <c r="O42" s="92">
        <f>D42-G42-K42</f>
        <v>336750.5099999999</v>
      </c>
      <c r="P42" s="92">
        <f>O42*100/D42</f>
        <v>22.450033999999995</v>
      </c>
      <c r="Q42" s="92">
        <f>E42-I42-M42</f>
        <v>7100.25</v>
      </c>
      <c r="R42" s="92">
        <f>F42-J42-N42</f>
        <v>329650.2599999999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3234022.5399999996</v>
      </c>
      <c r="H46" s="99">
        <f>G46*100/D46</f>
        <v>80.85056349999998</v>
      </c>
      <c r="I46" s="91"/>
      <c r="J46" s="92">
        <f>3479+332680+144892.35+28434.84+2560+131908.05+95594+164340+49063+91545+2425.2+60624+108894.2+58146.3+156373+875811+120519+284100+66159.8+132588.8+81570+163140+79175</f>
        <v>3234022.5399999996</v>
      </c>
      <c r="K46" s="92">
        <f>N46+M46</f>
        <v>111325.60000000002</v>
      </c>
      <c r="L46" s="116">
        <f>K46*100/D46</f>
        <v>2.7831400000000004</v>
      </c>
      <c r="M46" s="91"/>
      <c r="N46" s="92">
        <f>49063+875811+2425.2+284100+55158.5-49063-2425.2+8987.8+62158.5-58146.3+20022.5-875811+67872.9-284100-66159.8-10500-8509+40440.5</f>
        <v>111325.60000000002</v>
      </c>
      <c r="O46" s="92">
        <f>D46-G46-K46</f>
        <v>654651.8600000005</v>
      </c>
      <c r="P46" s="92">
        <f>O46*100/D46</f>
        <v>16.36629650000001</v>
      </c>
      <c r="Q46" s="92">
        <f>E46-I46-M46</f>
        <v>0</v>
      </c>
      <c r="R46" s="92">
        <f>F46-J46-N46</f>
        <v>654651.8600000005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7.2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7.2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2104211.29</v>
      </c>
      <c r="H50" s="99">
        <f>G50*100/D50</f>
        <v>70.14037633333334</v>
      </c>
      <c r="I50" s="91"/>
      <c r="J50" s="92">
        <f>109511.1+40568.8+113296.5+35951.7+98897+298258+100047.6+105376+15328+39678.7+256871.02+46909.52+98070+156164.85+72219.2+167293.3+181770+84000+84000</f>
        <v>2104211.29</v>
      </c>
      <c r="K50" s="91">
        <f>N50+M50</f>
        <v>195859.19999999995</v>
      </c>
      <c r="L50" s="116">
        <f>K50*100/D50</f>
        <v>6.5286399999999984</v>
      </c>
      <c r="M50" s="91"/>
      <c r="N50" s="91">
        <f>298258+35951.7+105376+256871.02+349770+38455.2-35951.7+4000-298258+71723.7-105376-39678.7+4000-2776.5-256871.02+8840+68219.2+18000+5000-72219.2-3504.5+80800-181770-84000-84000+15000</f>
        <v>195859.19999999995</v>
      </c>
      <c r="O50" s="92">
        <f>D50-G50-K50</f>
        <v>699929.51</v>
      </c>
      <c r="P50" s="92">
        <f>O50*100/D50</f>
        <v>23.33098366666667</v>
      </c>
      <c r="Q50" s="92">
        <f>E50-I50-M50</f>
        <v>0</v>
      </c>
      <c r="R50" s="92">
        <f>F50-J50-N50</f>
        <v>699929.51</v>
      </c>
    </row>
    <row r="51" spans="1:18" s="112" customFormat="1" ht="17.2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7.2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7.2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7.2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1899717.4699999997</v>
      </c>
      <c r="H54" s="99">
        <f>G54*100/D54</f>
        <v>75.9886988</v>
      </c>
      <c r="I54" s="91"/>
      <c r="J54" s="92">
        <f>3479+73034.17+288102+23540+99465+160352.4+292458+192489+3842+86798.7+161940+44479.2+87076.2+51154+75708+72654+99855+83290.8</f>
        <v>1899717.4699999997</v>
      </c>
      <c r="K54" s="91">
        <f>N54+M54</f>
        <v>0</v>
      </c>
      <c r="L54" s="116">
        <f>K54*100/D54</f>
        <v>0</v>
      </c>
      <c r="M54" s="91"/>
      <c r="N54" s="91">
        <f>42054+2425.2+51154-44479.2+57654+15000-51154-72654</f>
        <v>0</v>
      </c>
      <c r="O54" s="92">
        <f>D54-G54-K54</f>
        <v>600282.5300000003</v>
      </c>
      <c r="P54" s="92">
        <f>O54*100/D54</f>
        <v>24.011301200000013</v>
      </c>
      <c r="Q54" s="92">
        <f>E54-I54-M54</f>
        <v>0</v>
      </c>
      <c r="R54" s="92">
        <f>F54-J54-N54</f>
        <v>600282.5300000003</v>
      </c>
    </row>
    <row r="55" spans="1:18" s="112" customFormat="1" ht="17.2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7.2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7.2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1895908.5499999998</v>
      </c>
      <c r="H58" s="99">
        <f>G58*100/D58</f>
        <v>82.43080652173911</v>
      </c>
      <c r="I58" s="91"/>
      <c r="J58" s="92">
        <f>53980+117995.3+95817+82717.35+193760+165611.25+53980+27391+483176+194025.75+5005.4+69000+7030.1+137536.2+62512.4+146370.8</f>
        <v>1895908.5499999998</v>
      </c>
      <c r="K58" s="91">
        <f>N58+M58</f>
        <v>35032.4</v>
      </c>
      <c r="L58" s="116">
        <f>K58*100/D58</f>
        <v>1.5231478260869564</v>
      </c>
      <c r="M58" s="91"/>
      <c r="N58" s="91">
        <f>5005.4+5005.4-5005.4+57507+5005.4-62512.4+30027</f>
        <v>35032.4</v>
      </c>
      <c r="O58" s="92">
        <f>D58-G58-K58</f>
        <v>369059.05000000016</v>
      </c>
      <c r="P58" s="92">
        <f>O58*100/D58</f>
        <v>16.04604565217392</v>
      </c>
      <c r="Q58" s="92">
        <f>E58-I58-M58</f>
        <v>0</v>
      </c>
      <c r="R58" s="92">
        <f>F58-J58-N58</f>
        <v>369059.05000000016</v>
      </c>
    </row>
    <row r="59" spans="1:18" s="112" customFormat="1" ht="17.2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5" customHeight="1">
      <c r="A61" s="85"/>
      <c r="B61" s="86" t="s">
        <v>207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5">
        <v>1.15</v>
      </c>
      <c r="B62" s="203" t="s">
        <v>204</v>
      </c>
      <c r="C62" s="88" t="s">
        <v>206</v>
      </c>
      <c r="D62" s="117">
        <f>F62+E62</f>
        <v>477600</v>
      </c>
      <c r="E62" s="98"/>
      <c r="F62" s="117">
        <v>477600</v>
      </c>
      <c r="G62" s="92">
        <f>J62+I62</f>
        <v>42697.05</v>
      </c>
      <c r="H62" s="116">
        <f>G62*100/D62</f>
        <v>8.939918341708543</v>
      </c>
      <c r="I62" s="91"/>
      <c r="J62" s="92">
        <f>22712.4+19984.65</f>
        <v>42697.05</v>
      </c>
      <c r="K62" s="91">
        <f>N62+M62</f>
        <v>36054</v>
      </c>
      <c r="L62" s="116">
        <f>K62*100/D62</f>
        <v>7.548994974874372</v>
      </c>
      <c r="M62" s="91"/>
      <c r="N62" s="91">
        <f>36054</f>
        <v>36054</v>
      </c>
      <c r="O62" s="92">
        <f>D62-G62-K62</f>
        <v>398848.95</v>
      </c>
      <c r="P62" s="92">
        <f>O62*100/D62</f>
        <v>83.51108668341709</v>
      </c>
      <c r="Q62" s="92">
        <f>E62-I62-M62</f>
        <v>0</v>
      </c>
      <c r="R62" s="92">
        <f>F62-J62-N62</f>
        <v>398848.95</v>
      </c>
    </row>
    <row r="63" spans="1:18" s="112" customFormat="1" ht="17.25" customHeight="1">
      <c r="A63" s="85"/>
      <c r="B63" s="203" t="s">
        <v>205</v>
      </c>
      <c r="C63" s="93"/>
      <c r="D63" s="170"/>
      <c r="E63" s="171"/>
      <c r="F63" s="170"/>
      <c r="G63" s="172"/>
      <c r="H63" s="173"/>
      <c r="I63" s="172"/>
      <c r="J63" s="174"/>
      <c r="K63" s="172"/>
      <c r="L63" s="174"/>
      <c r="M63" s="172"/>
      <c r="N63" s="172"/>
      <c r="O63" s="174"/>
      <c r="P63" s="174"/>
      <c r="Q63" s="172"/>
      <c r="R63" s="174"/>
    </row>
    <row r="64" spans="1:18" s="112" customFormat="1" ht="18.75" customHeight="1">
      <c r="A64" s="94"/>
      <c r="B64" s="180" t="s">
        <v>55</v>
      </c>
      <c r="C64" s="181"/>
      <c r="D64" s="184">
        <f>F64+E64</f>
        <v>27343700</v>
      </c>
      <c r="E64" s="185">
        <f>E7+E10+E15+E18+E22+E26+E30+E34+E38+E42+E46+E50+E54+E58+E62</f>
        <v>1443000</v>
      </c>
      <c r="F64" s="184">
        <f>F7+F10+F15+F18+F22+F26+F30+F34+F38+F42+F46+F50+F54+F58+F62</f>
        <v>25900700</v>
      </c>
      <c r="G64" s="186">
        <f>J64+I64</f>
        <v>18416183.790000003</v>
      </c>
      <c r="H64" s="183">
        <f>G64*100/D64</f>
        <v>67.35073815906406</v>
      </c>
      <c r="I64" s="186">
        <f>I7+I10+I15+I18+I22+I26+I30+I34+I38+I42+I46+I50+I54+I58+I62</f>
        <v>0</v>
      </c>
      <c r="J64" s="183">
        <f>J7+J10+J15+J18+J22+J26+J30+J34+J38+J42+J46+J50+J54+J58+J62</f>
        <v>18416183.790000003</v>
      </c>
      <c r="K64" s="186">
        <f>N64+M64</f>
        <v>2167473.3</v>
      </c>
      <c r="L64" s="183">
        <f>K64*100/D64</f>
        <v>7.926773991815298</v>
      </c>
      <c r="M64" s="201">
        <f>M7+M10+M15+M18+M22+M26+M30+M34+M38+M42+M46+M50+M54+M58+M62</f>
        <v>1214948.58</v>
      </c>
      <c r="N64" s="186">
        <f>N7+N10+N15+N18+N22+N26+N30+N34+N38+N42+N46+N50+N54+N58+N62</f>
        <v>952524.72</v>
      </c>
      <c r="O64" s="183">
        <f>D64-G64-K64</f>
        <v>6760042.909999997</v>
      </c>
      <c r="P64" s="183">
        <f>O64*100/D64</f>
        <v>24.72248784912063</v>
      </c>
      <c r="Q64" s="201">
        <f>E64-I64-M64</f>
        <v>228051.41999999993</v>
      </c>
      <c r="R64" s="182">
        <f>F64-J64-N64</f>
        <v>6531991.489999997</v>
      </c>
    </row>
    <row r="65" spans="1:18" ht="18.75" customHeight="1">
      <c r="A65" s="157">
        <v>2</v>
      </c>
      <c r="B65" s="120" t="s">
        <v>199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2"/>
    </row>
    <row r="66" spans="1:18" s="112" customFormat="1" ht="18.75" customHeight="1">
      <c r="A66" s="100"/>
      <c r="B66" s="86" t="s">
        <v>132</v>
      </c>
      <c r="C66" s="107"/>
      <c r="D66" s="108"/>
      <c r="E66" s="109"/>
      <c r="F66" s="108"/>
      <c r="G66" s="110"/>
      <c r="H66" s="99"/>
      <c r="I66" s="110"/>
      <c r="J66" s="111"/>
      <c r="K66" s="110"/>
      <c r="L66" s="99"/>
      <c r="M66" s="110"/>
      <c r="N66" s="110"/>
      <c r="O66" s="111"/>
      <c r="P66" s="111"/>
      <c r="Q66" s="110"/>
      <c r="R66" s="99"/>
    </row>
    <row r="67" spans="1:18" s="112" customFormat="1" ht="18.75" customHeight="1">
      <c r="A67" s="88" t="s">
        <v>138</v>
      </c>
      <c r="B67" s="87" t="s">
        <v>98</v>
      </c>
      <c r="C67" s="88" t="s">
        <v>100</v>
      </c>
      <c r="D67" s="117">
        <f>F67+E67</f>
        <v>1908000</v>
      </c>
      <c r="E67" s="98"/>
      <c r="F67" s="117">
        <v>1908000</v>
      </c>
      <c r="G67" s="92">
        <f>J67+I67</f>
        <v>1810473.46</v>
      </c>
      <c r="H67" s="99">
        <f>G67*100/D67</f>
        <v>94.8885461215933</v>
      </c>
      <c r="I67" s="91"/>
      <c r="J67" s="92">
        <f>34620+53980+30914.1+43230+15478+8989.07+54780+18360+68747.04+180752.85+53980+28031.5+27600+39746.7+18616.2+37854+26050+31521.6+172500+357842+41645.4+465235</f>
        <v>1810473.46</v>
      </c>
      <c r="K67" s="92">
        <f>N67+M67</f>
        <v>97432</v>
      </c>
      <c r="L67" s="99">
        <f>K67*100/D67</f>
        <v>5.106498951781971</v>
      </c>
      <c r="M67" s="92"/>
      <c r="N67" s="92">
        <f>28031.5-28031.5+66664.8+7500-18616.2-31521.6+24860+26850+21695</f>
        <v>97432</v>
      </c>
      <c r="O67" s="91">
        <f>D67-G67-K67</f>
        <v>94.54000000003725</v>
      </c>
      <c r="P67" s="92">
        <f>O67*100/D67</f>
        <v>0.004954926624739898</v>
      </c>
      <c r="Q67" s="91">
        <f>E67-I67-M67</f>
        <v>0</v>
      </c>
      <c r="R67" s="92">
        <f>F67-J67-N67</f>
        <v>94.54000000003725</v>
      </c>
    </row>
    <row r="68" spans="1:18" s="112" customFormat="1" ht="18.75" customHeight="1">
      <c r="A68" s="100"/>
      <c r="B68" s="87" t="s">
        <v>99</v>
      </c>
      <c r="C68" s="107"/>
      <c r="D68" s="147"/>
      <c r="E68" s="148"/>
      <c r="F68" s="147"/>
      <c r="G68" s="110"/>
      <c r="H68" s="99"/>
      <c r="I68" s="110"/>
      <c r="J68" s="111"/>
      <c r="K68" s="197"/>
      <c r="L68" s="99"/>
      <c r="M68" s="197"/>
      <c r="N68" s="197"/>
      <c r="O68" s="111"/>
      <c r="P68" s="111"/>
      <c r="Q68" s="110"/>
      <c r="R68" s="111"/>
    </row>
    <row r="69" spans="1:18" s="112" customFormat="1" ht="18.75" customHeight="1">
      <c r="A69" s="100"/>
      <c r="B69" s="86" t="s">
        <v>131</v>
      </c>
      <c r="C69" s="107"/>
      <c r="D69" s="147"/>
      <c r="E69" s="148"/>
      <c r="F69" s="147"/>
      <c r="G69" s="110"/>
      <c r="H69" s="99"/>
      <c r="I69" s="110"/>
      <c r="J69" s="111"/>
      <c r="K69" s="197"/>
      <c r="L69" s="99"/>
      <c r="M69" s="197"/>
      <c r="N69" s="197"/>
      <c r="O69" s="111"/>
      <c r="P69" s="111"/>
      <c r="Q69" s="110"/>
      <c r="R69" s="111"/>
    </row>
    <row r="70" spans="1:18" s="112" customFormat="1" ht="18.75" customHeight="1">
      <c r="A70" s="88" t="s">
        <v>139</v>
      </c>
      <c r="B70" s="87" t="s">
        <v>126</v>
      </c>
      <c r="C70" s="88" t="s">
        <v>128</v>
      </c>
      <c r="D70" s="117">
        <f>F70+E70</f>
        <v>14489000</v>
      </c>
      <c r="E70" s="98"/>
      <c r="F70" s="117">
        <v>14489000</v>
      </c>
      <c r="G70" s="92">
        <f>J70+I70</f>
        <v>2008052.72</v>
      </c>
      <c r="H70" s="99">
        <f>G70*100/D70</f>
        <v>13.859153288701775</v>
      </c>
      <c r="I70" s="91"/>
      <c r="J70" s="92">
        <f>82170+98690+198468+7100+196227+125669+215247.7+1084481.02</f>
        <v>2008052.72</v>
      </c>
      <c r="K70" s="92">
        <f>N70+M70</f>
        <v>5033700.2</v>
      </c>
      <c r="L70" s="99">
        <f>K70*100/D70</f>
        <v>34.741529436123955</v>
      </c>
      <c r="M70" s="92"/>
      <c r="N70" s="92">
        <f>7100+203378+1084481.02-7100+7900+16080+453063+1525204+242886+271158+27860+9500-125669+1593720+637448-1084481.02+26840+144332.2</f>
        <v>5033700.2</v>
      </c>
      <c r="O70" s="92">
        <f>D70-G70-K70</f>
        <v>7447247.079999999</v>
      </c>
      <c r="P70" s="92">
        <f>O70*100/D70</f>
        <v>51.39931727517426</v>
      </c>
      <c r="Q70" s="91">
        <f>E70-I70-M70</f>
        <v>0</v>
      </c>
      <c r="R70" s="176">
        <f>F70-J70-N70</f>
        <v>7447247.079999999</v>
      </c>
    </row>
    <row r="71" spans="1:18" s="112" customFormat="1" ht="18.75" customHeight="1">
      <c r="A71" s="100"/>
      <c r="B71" s="87" t="s">
        <v>127</v>
      </c>
      <c r="C71" s="107"/>
      <c r="D71" s="147"/>
      <c r="E71" s="148"/>
      <c r="F71" s="147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6" t="s">
        <v>133</v>
      </c>
      <c r="C72" s="107"/>
      <c r="D72" s="147"/>
      <c r="E72" s="148"/>
      <c r="F72" s="147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6"/>
    </row>
    <row r="73" spans="1:18" s="112" customFormat="1" ht="18.75" customHeight="1">
      <c r="A73" s="88" t="s">
        <v>140</v>
      </c>
      <c r="B73" s="87" t="s">
        <v>129</v>
      </c>
      <c r="C73" s="88" t="s">
        <v>128</v>
      </c>
      <c r="D73" s="117">
        <f>F73+E73</f>
        <v>25192000</v>
      </c>
      <c r="E73" s="98"/>
      <c r="F73" s="117">
        <v>25192000</v>
      </c>
      <c r="G73" s="92">
        <f>J73+I73</f>
        <v>5249225.17</v>
      </c>
      <c r="H73" s="99">
        <f>G73*100/D73</f>
        <v>20.83687349158463</v>
      </c>
      <c r="I73" s="91"/>
      <c r="J73" s="92">
        <f>152362.35+82170+33039.6+89920+269095.85+36720+58952.2+83370+278550.35+1296187.15+60461.2+316182+171984+399000+77587.38+423866.74+341731.35+81570+996475</f>
        <v>5249225.17</v>
      </c>
      <c r="K73" s="92">
        <f>N73+M73</f>
        <v>7010569.039999998</v>
      </c>
      <c r="L73" s="99">
        <f>K73*100/D73</f>
        <v>27.82855287392822</v>
      </c>
      <c r="M73" s="92"/>
      <c r="N73" s="92">
        <f>33039.6+46052.2+12900-33039.6+1280682.74+3065855.76+12900+54570.2-58952.2+4759844.73+482160+50456.7+13500+5040-1296187.15-60461.2-7009+2600-423866.74-996475+12488+54470</f>
        <v>7010569.039999998</v>
      </c>
      <c r="O73" s="92">
        <f>D73-G73-K73</f>
        <v>12932205.79</v>
      </c>
      <c r="P73" s="92">
        <f>O73*100/D73</f>
        <v>51.334573634487136</v>
      </c>
      <c r="Q73" s="91">
        <f>E73-I73-M73</f>
        <v>0</v>
      </c>
      <c r="R73" s="176">
        <f>F73-J73-N73</f>
        <v>12932205.79</v>
      </c>
    </row>
    <row r="74" spans="1:18" s="112" customFormat="1" ht="18.75" customHeight="1">
      <c r="A74" s="100"/>
      <c r="B74" s="87" t="s">
        <v>130</v>
      </c>
      <c r="C74" s="107"/>
      <c r="D74" s="108"/>
      <c r="E74" s="109"/>
      <c r="F74" s="108"/>
      <c r="G74" s="110"/>
      <c r="H74" s="99"/>
      <c r="I74" s="110"/>
      <c r="J74" s="111"/>
      <c r="K74" s="110"/>
      <c r="L74" s="111"/>
      <c r="M74" s="110"/>
      <c r="N74" s="110"/>
      <c r="O74" s="111"/>
      <c r="P74" s="111"/>
      <c r="Q74" s="110"/>
      <c r="R74" s="116"/>
    </row>
    <row r="75" spans="1:18" s="112" customFormat="1" ht="18.75" customHeight="1">
      <c r="A75" s="100"/>
      <c r="B75" s="87" t="s">
        <v>54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>
        <v>2.4</v>
      </c>
      <c r="B76" s="86" t="s">
        <v>183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/>
      <c r="B77" s="87" t="s">
        <v>184</v>
      </c>
      <c r="C77" s="88" t="s">
        <v>128</v>
      </c>
      <c r="D77" s="117">
        <f>F77+E77</f>
        <v>3360000</v>
      </c>
      <c r="E77" s="98">
        <v>488900</v>
      </c>
      <c r="F77" s="117">
        <v>2871100</v>
      </c>
      <c r="G77" s="92">
        <f>J77+I77</f>
        <v>1219879.95</v>
      </c>
      <c r="H77" s="99">
        <f>G77*100/D77</f>
        <v>36.30595089285714</v>
      </c>
      <c r="I77" s="91"/>
      <c r="J77" s="92">
        <f>54780+3334+49951+33122.25+4000+13421.1+110826+29336.85+32888+4000+231970+253101.85+35068.9+364080</f>
        <v>1219879.95</v>
      </c>
      <c r="K77" s="92">
        <f>N77+M77</f>
        <v>596560.31</v>
      </c>
      <c r="L77" s="99">
        <f>K77*100/D77</f>
        <v>17.754771130952385</v>
      </c>
      <c r="M77" s="92">
        <v>436536.31</v>
      </c>
      <c r="N77" s="92">
        <f>4000-4000+4000+4000-4000+3000+6864+146160</f>
        <v>160024</v>
      </c>
      <c r="O77" s="92">
        <f>D77-G77-K77</f>
        <v>1543559.7399999998</v>
      </c>
      <c r="P77" s="92">
        <f>O77*100/D77</f>
        <v>45.93927797619047</v>
      </c>
      <c r="Q77" s="92">
        <f>E77-I77-M77</f>
        <v>52363.69</v>
      </c>
      <c r="R77" s="176">
        <f>F77-J77-N77</f>
        <v>1491196.05</v>
      </c>
    </row>
    <row r="78" spans="1:18" s="112" customFormat="1" ht="18.75" customHeight="1">
      <c r="A78" s="100"/>
      <c r="B78" s="87" t="s">
        <v>185</v>
      </c>
      <c r="C78" s="107"/>
      <c r="D78" s="108"/>
      <c r="E78" s="109"/>
      <c r="F78" s="108"/>
      <c r="G78" s="110"/>
      <c r="H78" s="99"/>
      <c r="I78" s="110"/>
      <c r="J78" s="111"/>
      <c r="K78" s="110"/>
      <c r="L78" s="111"/>
      <c r="M78" s="110"/>
      <c r="N78" s="110"/>
      <c r="O78" s="111"/>
      <c r="P78" s="111"/>
      <c r="Q78" s="110"/>
      <c r="R78" s="111"/>
    </row>
    <row r="79" spans="1:18" s="112" customFormat="1" ht="18.75" customHeight="1">
      <c r="A79" s="100"/>
      <c r="B79" s="87" t="s">
        <v>80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2.5</v>
      </c>
      <c r="B80" s="86" t="s">
        <v>186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190</v>
      </c>
      <c r="C81" s="88" t="s">
        <v>128</v>
      </c>
      <c r="D81" s="117">
        <f>F81+E81</f>
        <v>4800000</v>
      </c>
      <c r="E81" s="98"/>
      <c r="F81" s="117">
        <v>4800000</v>
      </c>
      <c r="G81" s="92">
        <f>J81+I81</f>
        <v>3886761.63</v>
      </c>
      <c r="H81" s="99">
        <f>G81*100/D81</f>
        <v>80.974200625</v>
      </c>
      <c r="I81" s="91"/>
      <c r="J81" s="92">
        <f>3479+16590+79170+53980+98970+215959.4+285519.78+213344.1+179663+53980+132135+41115+8250+20188.8+232996.7+193137+70555.3+69501.85+55580+634450+266274+10894.1+1987.8+11420+378245+496196+63179.8</f>
        <v>3886761.63</v>
      </c>
      <c r="K81" s="92">
        <f>N81+M81</f>
        <v>39133.6</v>
      </c>
      <c r="L81" s="116">
        <f>K81*100/D81</f>
        <v>0.8152833333333334</v>
      </c>
      <c r="M81" s="92"/>
      <c r="N81" s="92">
        <f>132135+634450+67567.5-132135+8987.8+11500-70555.3-634450-1987.8-11420+16014.4+10697+8330</f>
        <v>39133.6</v>
      </c>
      <c r="O81" s="92">
        <f>D81-G81-K81</f>
        <v>874104.7700000001</v>
      </c>
      <c r="P81" s="92">
        <f>O81*100/D81</f>
        <v>18.21051604166667</v>
      </c>
      <c r="Q81" s="91">
        <f>E81-I81-M81</f>
        <v>0</v>
      </c>
      <c r="R81" s="176">
        <f>F81-J81-N81</f>
        <v>874104.7700000001</v>
      </c>
    </row>
    <row r="82" spans="1:18" s="112" customFormat="1" ht="18.75" customHeight="1">
      <c r="A82" s="100"/>
      <c r="B82" s="87" t="s">
        <v>48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00">
        <v>2.6</v>
      </c>
      <c r="B83" s="86" t="s">
        <v>187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188</v>
      </c>
      <c r="C84" s="88" t="s">
        <v>128</v>
      </c>
      <c r="D84" s="117">
        <f>F84+E84</f>
        <v>5722000</v>
      </c>
      <c r="E84" s="98"/>
      <c r="F84" s="117">
        <v>5722000</v>
      </c>
      <c r="G84" s="92">
        <f>J84+I84</f>
        <v>3216005.1999999997</v>
      </c>
      <c r="H84" s="99">
        <f>G84*100/D84</f>
        <v>56.204215309332405</v>
      </c>
      <c r="I84" s="91"/>
      <c r="J84" s="92">
        <f>80970+216900.75+82068.8+1280+153724.05+88129.2+5040+427796.45+14985+153176.85+442780+97870+198061+107031.2+98385+148000+8840+165330+111636.6+140000+176490.3+297510</f>
        <v>3216005.1999999997</v>
      </c>
      <c r="K84" s="91">
        <f>N84+M84</f>
        <v>603788.0000000001</v>
      </c>
      <c r="L84" s="116">
        <f>K84*100/D84</f>
        <v>10.552044739601541</v>
      </c>
      <c r="M84" s="91"/>
      <c r="N84" s="91">
        <f>346061+24060+61644+5040+490126+582780+2425.2+104043.4-88129.2-5040+8987.8+109649.8-442780-198061-107031.2+297510-148000+109649.8-111636.6-140000-1-297510</f>
        <v>603788.0000000001</v>
      </c>
      <c r="O84" s="92">
        <f>D84-G84-K84</f>
        <v>1902206.8000000003</v>
      </c>
      <c r="P84" s="92">
        <f>O84*100/D84</f>
        <v>33.24373995106607</v>
      </c>
      <c r="Q84" s="91">
        <f>E84-I84-M84</f>
        <v>0</v>
      </c>
      <c r="R84" s="176">
        <f>F84-J84-N84</f>
        <v>1902206.8000000003</v>
      </c>
    </row>
    <row r="85" spans="1:18" s="112" customFormat="1" ht="16.5" customHeight="1">
      <c r="A85" s="100"/>
      <c r="B85" s="87" t="s">
        <v>49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7.25" customHeight="1">
      <c r="A86" s="100">
        <v>2.7</v>
      </c>
      <c r="B86" s="86" t="s">
        <v>191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8.75" customHeight="1">
      <c r="A87" s="100"/>
      <c r="B87" s="87" t="s">
        <v>192</v>
      </c>
      <c r="C87" s="88" t="s">
        <v>194</v>
      </c>
      <c r="D87" s="117">
        <f>F87+E87</f>
        <v>9621000</v>
      </c>
      <c r="E87" s="98">
        <v>470000</v>
      </c>
      <c r="F87" s="117">
        <v>9151000</v>
      </c>
      <c r="G87" s="92">
        <f>J87+I87</f>
        <v>1441348.8599999999</v>
      </c>
      <c r="H87" s="99">
        <f>G87*100/D87</f>
        <v>14.981279077019021</v>
      </c>
      <c r="I87" s="91"/>
      <c r="J87" s="92">
        <f>98395+28850+192109.05+351765.61+182961+133556.6+83070+204060+166581.6</f>
        <v>1441348.8599999999</v>
      </c>
      <c r="K87" s="92">
        <f>N87+M87</f>
        <v>3917607.2</v>
      </c>
      <c r="L87" s="99">
        <f>K87*100/D87</f>
        <v>40.71933478848353</v>
      </c>
      <c r="M87" s="92">
        <f>469348.6</f>
        <v>469348.6</v>
      </c>
      <c r="N87" s="92">
        <f>267113.2+328720-133556.6+1258874+1237352+489756</f>
        <v>3448258.6</v>
      </c>
      <c r="O87" s="92">
        <f>D87-G87-K87</f>
        <v>4262043.94</v>
      </c>
      <c r="P87" s="92">
        <f>O87*100/D87</f>
        <v>44.29938613449746</v>
      </c>
      <c r="Q87" s="92">
        <f>E87-I87-M87</f>
        <v>651.4000000000233</v>
      </c>
      <c r="R87" s="176">
        <f>F87-J87-N87</f>
        <v>4261392.540000001</v>
      </c>
    </row>
    <row r="88" spans="1:18" s="112" customFormat="1" ht="18.7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8.75" customHeight="1">
      <c r="A89" s="100">
        <v>2.8</v>
      </c>
      <c r="B89" s="86" t="s">
        <v>195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6.5" customHeight="1">
      <c r="A90" s="100"/>
      <c r="B90" s="87" t="s">
        <v>196</v>
      </c>
      <c r="C90" s="88" t="s">
        <v>194</v>
      </c>
      <c r="D90" s="117">
        <f>F90+E90</f>
        <v>9620000</v>
      </c>
      <c r="E90" s="98">
        <v>495000</v>
      </c>
      <c r="F90" s="117">
        <v>9125000</v>
      </c>
      <c r="G90" s="92">
        <f>J90+I90</f>
        <v>1910081.48</v>
      </c>
      <c r="H90" s="99">
        <f>G90*100/D90</f>
        <v>19.85531683991684</v>
      </c>
      <c r="I90" s="91"/>
      <c r="J90" s="92">
        <f>82170+98690+181325.95+43400+317973.6+1186521.93</f>
        <v>1910081.48</v>
      </c>
      <c r="K90" s="92">
        <f>N90+M90</f>
        <v>2647142.71</v>
      </c>
      <c r="L90" s="99">
        <f>K90*100/D90</f>
        <v>27.51707598752599</v>
      </c>
      <c r="M90" s="92">
        <v>493886.07</v>
      </c>
      <c r="N90" s="92">
        <f>1186521.93+487214.84+849798+700825-1186521.93+7500+107918.8</f>
        <v>2153256.64</v>
      </c>
      <c r="O90" s="92">
        <f>D90-G90-K90</f>
        <v>5062775.81</v>
      </c>
      <c r="P90" s="92">
        <f>O90*100/D90</f>
        <v>52.62760717255717</v>
      </c>
      <c r="Q90" s="92">
        <f>E90-I90-M90</f>
        <v>1113.929999999993</v>
      </c>
      <c r="R90" s="176">
        <f>F90-J90-N90</f>
        <v>5061661.879999999</v>
      </c>
    </row>
    <row r="91" spans="1:18" s="112" customFormat="1" ht="17.25" customHeight="1">
      <c r="A91" s="100"/>
      <c r="B91" s="87" t="s">
        <v>193</v>
      </c>
      <c r="C91" s="107"/>
      <c r="D91" s="108"/>
      <c r="E91" s="109"/>
      <c r="F91" s="108"/>
      <c r="G91" s="110"/>
      <c r="H91" s="99"/>
      <c r="I91" s="110"/>
      <c r="J91" s="111"/>
      <c r="K91" s="110"/>
      <c r="L91" s="111"/>
      <c r="M91" s="110"/>
      <c r="N91" s="110"/>
      <c r="O91" s="111"/>
      <c r="P91" s="111"/>
      <c r="Q91" s="110"/>
      <c r="R91" s="111"/>
    </row>
    <row r="92" spans="1:18" s="112" customFormat="1" ht="15.75" customHeight="1">
      <c r="A92" s="100"/>
      <c r="B92" s="177" t="s">
        <v>166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7.25" customHeight="1">
      <c r="A93" s="100"/>
      <c r="B93" s="86" t="s">
        <v>167</v>
      </c>
      <c r="C93" s="107"/>
      <c r="D93" s="108"/>
      <c r="E93" s="109"/>
      <c r="F93" s="108"/>
      <c r="G93" s="110"/>
      <c r="H93" s="99"/>
      <c r="I93" s="110"/>
      <c r="J93" s="111"/>
      <c r="K93" s="110"/>
      <c r="L93" s="111"/>
      <c r="M93" s="110"/>
      <c r="N93" s="110"/>
      <c r="O93" s="111"/>
      <c r="P93" s="111"/>
      <c r="Q93" s="110"/>
      <c r="R93" s="111"/>
    </row>
    <row r="94" spans="1:18" s="112" customFormat="1" ht="18" customHeight="1">
      <c r="A94" s="100">
        <v>2.9</v>
      </c>
      <c r="B94" s="87" t="s">
        <v>154</v>
      </c>
      <c r="C94" s="88" t="s">
        <v>157</v>
      </c>
      <c r="D94" s="117">
        <f>F94+E94</f>
        <v>3401000</v>
      </c>
      <c r="E94" s="98"/>
      <c r="F94" s="117">
        <f>3392000+9000</f>
        <v>3401000</v>
      </c>
      <c r="G94" s="92">
        <f>J94+I94</f>
        <v>2609931.75</v>
      </c>
      <c r="H94" s="99">
        <f>G94*100/D94</f>
        <v>76.74012790355778</v>
      </c>
      <c r="I94" s="91"/>
      <c r="J94" s="92">
        <f>146999.7+98867+20000+274298+314359.5+164034+53643.2+119743+300000+132650+175390.2+84582.8+61350+490890+152366.35+20758</f>
        <v>2609931.75</v>
      </c>
      <c r="K94" s="91">
        <f>N94+M94</f>
        <v>143455</v>
      </c>
      <c r="L94" s="116">
        <f>K94*100/D94</f>
        <v>4.218024110555719</v>
      </c>
      <c r="M94" s="91"/>
      <c r="N94" s="91">
        <f>20000+178565+790890-20000+4000+49643.2-53643.2+4000+80582.8-300000-84582.8-61350+5000-490890+21240</f>
        <v>143455</v>
      </c>
      <c r="O94" s="92">
        <f>D94-G94-K94</f>
        <v>647613.25</v>
      </c>
      <c r="P94" s="92">
        <f>O94*100/D94</f>
        <v>19.041847985886506</v>
      </c>
      <c r="Q94" s="91">
        <f>E94-I94-M94</f>
        <v>0</v>
      </c>
      <c r="R94" s="92">
        <f>F94-J94-N94</f>
        <v>647613.25</v>
      </c>
    </row>
    <row r="95" spans="1:18" s="112" customFormat="1" ht="18" customHeight="1">
      <c r="A95" s="100"/>
      <c r="B95" s="87" t="s">
        <v>155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" customHeight="1">
      <c r="A96" s="94"/>
      <c r="B96" s="95" t="s">
        <v>156</v>
      </c>
      <c r="C96" s="96"/>
      <c r="D96" s="126"/>
      <c r="E96" s="127"/>
      <c r="F96" s="126"/>
      <c r="G96" s="128"/>
      <c r="H96" s="129"/>
      <c r="I96" s="128"/>
      <c r="J96" s="130"/>
      <c r="K96" s="128"/>
      <c r="L96" s="130"/>
      <c r="M96" s="128"/>
      <c r="N96" s="128"/>
      <c r="O96" s="130"/>
      <c r="P96" s="130"/>
      <c r="Q96" s="128"/>
      <c r="R96" s="130"/>
    </row>
    <row r="97" spans="1:18" s="112" customFormat="1" ht="18.75" customHeight="1">
      <c r="A97" s="118"/>
      <c r="B97" s="162" t="s">
        <v>137</v>
      </c>
      <c r="C97" s="141"/>
      <c r="D97" s="142"/>
      <c r="E97" s="143"/>
      <c r="F97" s="142"/>
      <c r="G97" s="144"/>
      <c r="H97" s="145"/>
      <c r="I97" s="144"/>
      <c r="J97" s="146"/>
      <c r="K97" s="144"/>
      <c r="L97" s="146"/>
      <c r="M97" s="144"/>
      <c r="N97" s="144"/>
      <c r="O97" s="146"/>
      <c r="P97" s="146"/>
      <c r="Q97" s="144"/>
      <c r="R97" s="146"/>
    </row>
    <row r="98" spans="1:18" s="112" customFormat="1" ht="18.75" customHeight="1">
      <c r="A98" s="100"/>
      <c r="B98" s="86" t="s">
        <v>134</v>
      </c>
      <c r="C98" s="107"/>
      <c r="D98" s="108"/>
      <c r="E98" s="109"/>
      <c r="F98" s="108"/>
      <c r="G98" s="110"/>
      <c r="H98" s="99"/>
      <c r="I98" s="110"/>
      <c r="J98" s="111"/>
      <c r="K98" s="110"/>
      <c r="L98" s="111"/>
      <c r="M98" s="110"/>
      <c r="N98" s="110"/>
      <c r="O98" s="111"/>
      <c r="P98" s="111"/>
      <c r="Q98" s="110"/>
      <c r="R98" s="111"/>
    </row>
    <row r="99" spans="1:18" s="112" customFormat="1" ht="18.75" customHeight="1">
      <c r="A99" s="88" t="s">
        <v>197</v>
      </c>
      <c r="B99" s="87" t="s">
        <v>135</v>
      </c>
      <c r="C99" s="88" t="s">
        <v>128</v>
      </c>
      <c r="D99" s="117">
        <f>F99+E99</f>
        <v>19382000</v>
      </c>
      <c r="E99" s="98"/>
      <c r="F99" s="117">
        <v>19382000</v>
      </c>
      <c r="G99" s="92">
        <f>J99+I99</f>
        <v>10977093.810000002</v>
      </c>
      <c r="H99" s="99">
        <f>G99*100/D99</f>
        <v>56.635506191311535</v>
      </c>
      <c r="I99" s="91"/>
      <c r="J99" s="92">
        <f>71922.6+68520+166602+99000+240000+581286.38+246510+136905.3+5330+40115+2595072+23191+484890+720408.53+152689.8+22960+166264.62+633365+63564.8+12960+256410+719979.46+83370+34671.21+633365+252360+453420+148036.8+54598+49669.8+719979.46+633308.5+248942.05+108331.95+49094.55</f>
        <v>10977093.810000002</v>
      </c>
      <c r="K99" s="92">
        <f>N99+M99</f>
        <v>2026453.1600000004</v>
      </c>
      <c r="L99" s="116">
        <f>K99*100/D99</f>
        <v>10.455335672273245</v>
      </c>
      <c r="M99" s="91"/>
      <c r="N99" s="92">
        <f>2880346.91+2533347+453420+55158.5+12410.8+50400-720408.53+88263+15013.5-633365-63564.8-12960+78776.2+90090-4004.5-719979.46-633365+15013.5+130339.5-453420-148036.8-16504.5-28825.2-49669.8+28031.5-719979.46-633308.5+251010+114064.3+68160</f>
        <v>2026453.1600000004</v>
      </c>
      <c r="O99" s="92">
        <f>D99-G99-K99</f>
        <v>6378453.0299999975</v>
      </c>
      <c r="P99" s="92">
        <f>O99*100/D99</f>
        <v>32.909158136415215</v>
      </c>
      <c r="Q99" s="91">
        <f>E99-I99-M99</f>
        <v>0</v>
      </c>
      <c r="R99" s="176">
        <f>F99-J99-N99</f>
        <v>6378453.0299999975</v>
      </c>
    </row>
    <row r="100" spans="1:18" s="112" customFormat="1" ht="18.75" customHeight="1">
      <c r="A100" s="100"/>
      <c r="B100" s="87" t="s">
        <v>136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111"/>
      <c r="M100" s="110"/>
      <c r="N100" s="110"/>
      <c r="O100" s="111"/>
      <c r="P100" s="111"/>
      <c r="Q100" s="110"/>
      <c r="R100" s="116"/>
    </row>
    <row r="101" spans="1:18" s="112" customFormat="1" ht="18.75" customHeight="1">
      <c r="A101" s="100"/>
      <c r="B101" s="101" t="s">
        <v>67</v>
      </c>
      <c r="C101" s="119"/>
      <c r="D101" s="159">
        <f>F101+E101</f>
        <v>97495000</v>
      </c>
      <c r="E101" s="160">
        <f>E67+E70+E73+E77+E81+E84+E87+E90+E94+E99</f>
        <v>1453900</v>
      </c>
      <c r="F101" s="159">
        <f>F67+F70+F73+F77+F81+F84+F87+F90+F94+F99</f>
        <v>96041100</v>
      </c>
      <c r="G101" s="161">
        <f>J101+I101</f>
        <v>34328854.03</v>
      </c>
      <c r="H101" s="105">
        <f>G101*100/D101</f>
        <v>35.21088674290989</v>
      </c>
      <c r="I101" s="161">
        <f>I67+I70+I73+I77+I81+I84+I87+I90+I94+I99</f>
        <v>0</v>
      </c>
      <c r="J101" s="105">
        <f>J67+J70+J73+J77+J81+J84+J87+J90+J94+J99</f>
        <v>34328854.03</v>
      </c>
      <c r="K101" s="161">
        <f>N101+M101</f>
        <v>22115841.22</v>
      </c>
      <c r="L101" s="114">
        <f>K101*100/D101</f>
        <v>22.684077357813223</v>
      </c>
      <c r="M101" s="213">
        <f>M67+M70+M73+M77+M81+M84+M87+M90+M94+M99</f>
        <v>1399770.98</v>
      </c>
      <c r="N101" s="161">
        <f>N67+N70+N73+N77+N81+N84+N87+N90+N94+N99</f>
        <v>20716070.24</v>
      </c>
      <c r="O101" s="105">
        <f>D101-G101-K101</f>
        <v>41050304.75</v>
      </c>
      <c r="P101" s="105">
        <f>O101*100/D101</f>
        <v>42.105035899276885</v>
      </c>
      <c r="Q101" s="196">
        <f>E101-I101-M101</f>
        <v>54129.02000000002</v>
      </c>
      <c r="R101" s="114">
        <f>F101-J101-N101</f>
        <v>40996175.730000004</v>
      </c>
    </row>
    <row r="102" spans="1:18" ht="18.75" customHeight="1">
      <c r="A102" s="158">
        <v>3</v>
      </c>
      <c r="B102" s="177" t="s">
        <v>201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191"/>
    </row>
    <row r="103" spans="1:18" s="112" customFormat="1" ht="19.5" customHeight="1">
      <c r="A103" s="100"/>
      <c r="B103" s="86" t="s">
        <v>178</v>
      </c>
      <c r="C103" s="107"/>
      <c r="D103" s="108"/>
      <c r="E103" s="109"/>
      <c r="F103" s="108"/>
      <c r="G103" s="110"/>
      <c r="H103" s="99"/>
      <c r="I103" s="110"/>
      <c r="J103" s="111"/>
      <c r="K103" s="110"/>
      <c r="L103" s="99"/>
      <c r="M103" s="110"/>
      <c r="N103" s="110"/>
      <c r="O103" s="111"/>
      <c r="P103" s="111"/>
      <c r="Q103" s="110"/>
      <c r="R103" s="116"/>
    </row>
    <row r="104" spans="1:18" s="112" customFormat="1" ht="19.5" customHeight="1">
      <c r="A104" s="88" t="s">
        <v>142</v>
      </c>
      <c r="B104" s="87" t="s">
        <v>179</v>
      </c>
      <c r="C104" s="88" t="s">
        <v>128</v>
      </c>
      <c r="D104" s="117">
        <f>F104+E104</f>
        <v>8800000</v>
      </c>
      <c r="E104" s="98"/>
      <c r="F104" s="117">
        <v>8800000</v>
      </c>
      <c r="G104" s="92">
        <f>J104+I104</f>
        <v>8126243.8</v>
      </c>
      <c r="H104" s="99">
        <f>G104*100/D104</f>
        <v>92.34367954545455</v>
      </c>
      <c r="I104" s="91"/>
      <c r="J104" s="92">
        <f>81420+247230+65337+247230+139529.7+243630+417520+3300+208450.15+43225.7+483100+243630+92081+250830+254430+75000+10880+22800+11690+6666+26995+6040+21680+254430+19873.35+254430+62552.2+79460.88+320679.35+257130+90565.6+255060+34620.92+32664.5+11830+150000+11940+251460+251460+8050+33190+246960+18000+98008+33722+94336.65+2140+106938.2+242460+492850+22948+11200+291575+18983+246960+66400+34071.6+417620+16960+82020</f>
        <v>8126243.8</v>
      </c>
      <c r="K104" s="91">
        <f>N104+M104</f>
        <v>241483.61</v>
      </c>
      <c r="L104" s="116">
        <f>K104*100/D104</f>
        <v>2.7441319318181816</v>
      </c>
      <c r="M104" s="91"/>
      <c r="N104" s="92">
        <f>92081+99572.8-92081-90565.6+101380+6960+120196.25-106938.2+52267.36+14311+44300</f>
        <v>241483.61</v>
      </c>
      <c r="O104" s="92">
        <f>D104-G104-K104</f>
        <v>432272.5900000002</v>
      </c>
      <c r="P104" s="92">
        <f>O104*100/D104</f>
        <v>4.912188522727275</v>
      </c>
      <c r="Q104" s="91">
        <f>E104-I104-M104</f>
        <v>0</v>
      </c>
      <c r="R104" s="176">
        <f>F104-J104-N104</f>
        <v>432272.5900000002</v>
      </c>
    </row>
    <row r="105" spans="1:18" s="112" customFormat="1" ht="19.5" customHeight="1">
      <c r="A105" s="100"/>
      <c r="B105" s="87" t="s">
        <v>180</v>
      </c>
      <c r="C105" s="107"/>
      <c r="D105" s="147"/>
      <c r="E105" s="148"/>
      <c r="F105" s="147"/>
      <c r="G105" s="110"/>
      <c r="H105" s="99"/>
      <c r="I105" s="110"/>
      <c r="J105" s="111"/>
      <c r="K105" s="110"/>
      <c r="L105" s="111"/>
      <c r="M105" s="110"/>
      <c r="N105" s="110"/>
      <c r="O105" s="111"/>
      <c r="P105" s="111"/>
      <c r="Q105" s="110"/>
      <c r="R105" s="116"/>
    </row>
    <row r="106" spans="1:18" ht="19.5" customHeight="1">
      <c r="A106" s="187"/>
      <c r="B106" s="188" t="s">
        <v>181</v>
      </c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9"/>
    </row>
    <row r="107" spans="1:18" s="112" customFormat="1" ht="19.5" customHeight="1">
      <c r="A107" s="100"/>
      <c r="B107" s="101" t="s">
        <v>182</v>
      </c>
      <c r="C107" s="119"/>
      <c r="D107" s="159">
        <f>F107+E107</f>
        <v>8800000</v>
      </c>
      <c r="E107" s="160">
        <f>E104</f>
        <v>0</v>
      </c>
      <c r="F107" s="159">
        <f>F104</f>
        <v>8800000</v>
      </c>
      <c r="G107" s="161">
        <f>J107+I107</f>
        <v>8126243.8</v>
      </c>
      <c r="H107" s="105">
        <f>G107*100/D107</f>
        <v>92.34367954545455</v>
      </c>
      <c r="I107" s="161">
        <f>I104</f>
        <v>0</v>
      </c>
      <c r="J107" s="105">
        <f>J104</f>
        <v>8126243.8</v>
      </c>
      <c r="K107" s="161">
        <f>N107+M107</f>
        <v>241483.61</v>
      </c>
      <c r="L107" s="105">
        <f>K107*100/D107</f>
        <v>2.7441319318181816</v>
      </c>
      <c r="M107" s="161">
        <f>M104</f>
        <v>0</v>
      </c>
      <c r="N107" s="161">
        <f>N104</f>
        <v>241483.61</v>
      </c>
      <c r="O107" s="105">
        <f>D107-G107-K107</f>
        <v>432272.5900000002</v>
      </c>
      <c r="P107" s="105">
        <f>O107*100/D107</f>
        <v>4.912188522727275</v>
      </c>
      <c r="Q107" s="149">
        <f>E107-I107-M107</f>
        <v>0</v>
      </c>
      <c r="R107" s="114">
        <f>F107-J107-N107</f>
        <v>432272.5900000002</v>
      </c>
    </row>
    <row r="108" spans="1:18" s="112" customFormat="1" ht="15.75" customHeight="1">
      <c r="A108" s="150"/>
      <c r="B108" s="131" t="s">
        <v>166</v>
      </c>
      <c r="C108" s="151"/>
      <c r="D108" s="152"/>
      <c r="E108" s="153"/>
      <c r="F108" s="152"/>
      <c r="G108" s="154"/>
      <c r="H108" s="155"/>
      <c r="I108" s="154"/>
      <c r="J108" s="156"/>
      <c r="K108" s="154"/>
      <c r="L108" s="156"/>
      <c r="M108" s="154"/>
      <c r="N108" s="154"/>
      <c r="O108" s="156"/>
      <c r="P108" s="156"/>
      <c r="Q108" s="154"/>
      <c r="R108" s="156"/>
    </row>
    <row r="109" spans="1:18" s="112" customFormat="1" ht="18" customHeight="1">
      <c r="A109" s="100"/>
      <c r="B109" s="86" t="s">
        <v>93</v>
      </c>
      <c r="C109" s="107"/>
      <c r="D109" s="108"/>
      <c r="E109" s="109"/>
      <c r="F109" s="108"/>
      <c r="G109" s="110"/>
      <c r="H109" s="99"/>
      <c r="I109" s="110"/>
      <c r="J109" s="111"/>
      <c r="K109" s="110"/>
      <c r="L109" s="111"/>
      <c r="M109" s="110"/>
      <c r="N109" s="110"/>
      <c r="O109" s="111"/>
      <c r="P109" s="111"/>
      <c r="Q109" s="110"/>
      <c r="R109" s="111"/>
    </row>
    <row r="110" spans="1:18" s="112" customFormat="1" ht="18" customHeight="1">
      <c r="A110" s="100">
        <v>1.2</v>
      </c>
      <c r="B110" s="87" t="s">
        <v>83</v>
      </c>
      <c r="C110" s="88" t="s">
        <v>203</v>
      </c>
      <c r="D110" s="117">
        <f>F110+E110</f>
        <v>190000</v>
      </c>
      <c r="E110" s="98"/>
      <c r="F110" s="117">
        <v>190000</v>
      </c>
      <c r="G110" s="92">
        <f>J110+I110</f>
        <v>189985.94999999998</v>
      </c>
      <c r="H110" s="99">
        <f>G110*100/D110</f>
        <v>99.9926052631579</v>
      </c>
      <c r="I110" s="92"/>
      <c r="J110" s="92">
        <f>17310+72868.95+4530+86117.85+6090+3069.15</f>
        <v>189985.94999999998</v>
      </c>
      <c r="K110" s="92">
        <f>N110+M110</f>
        <v>0</v>
      </c>
      <c r="L110" s="99">
        <f>K110*100/D110</f>
        <v>0</v>
      </c>
      <c r="M110" s="92"/>
      <c r="N110" s="92"/>
      <c r="O110" s="92">
        <f>D110-G110-K110</f>
        <v>14.050000000017462</v>
      </c>
      <c r="P110" s="92">
        <f>O110*100/D110</f>
        <v>0.0073947368421144535</v>
      </c>
      <c r="Q110" s="91">
        <f>E110-I110-M110</f>
        <v>0</v>
      </c>
      <c r="R110" s="92">
        <f>F110-J110-N110</f>
        <v>14.050000000017462</v>
      </c>
    </row>
    <row r="111" spans="1:18" s="112" customFormat="1" ht="18" customHeight="1">
      <c r="A111" s="100"/>
      <c r="B111" s="87" t="s">
        <v>88</v>
      </c>
      <c r="C111" s="107"/>
      <c r="D111" s="147"/>
      <c r="E111" s="148"/>
      <c r="F111" s="147"/>
      <c r="G111" s="197"/>
      <c r="H111" s="99"/>
      <c r="I111" s="197"/>
      <c r="J111" s="99"/>
      <c r="K111" s="197"/>
      <c r="L111" s="99"/>
      <c r="M111" s="197"/>
      <c r="N111" s="197"/>
      <c r="O111" s="99"/>
      <c r="P111" s="111"/>
      <c r="Q111" s="110"/>
      <c r="R111" s="111"/>
    </row>
    <row r="112" spans="1:18" s="112" customFormat="1" ht="16.5" customHeight="1">
      <c r="A112" s="100">
        <v>1.3</v>
      </c>
      <c r="B112" s="86" t="s">
        <v>94</v>
      </c>
      <c r="C112" s="107"/>
      <c r="D112" s="147"/>
      <c r="E112" s="148"/>
      <c r="F112" s="147"/>
      <c r="G112" s="197"/>
      <c r="H112" s="99"/>
      <c r="I112" s="197"/>
      <c r="J112" s="99"/>
      <c r="K112" s="197"/>
      <c r="L112" s="99"/>
      <c r="M112" s="197"/>
      <c r="N112" s="197"/>
      <c r="O112" s="99"/>
      <c r="P112" s="111"/>
      <c r="Q112" s="110"/>
      <c r="R112" s="111"/>
    </row>
    <row r="113" spans="1:18" s="112" customFormat="1" ht="18" customHeight="1">
      <c r="A113" s="100"/>
      <c r="B113" s="87" t="s">
        <v>84</v>
      </c>
      <c r="C113" s="88" t="s">
        <v>203</v>
      </c>
      <c r="D113" s="117">
        <f>F113+E113</f>
        <v>400000</v>
      </c>
      <c r="E113" s="98"/>
      <c r="F113" s="117">
        <v>400000</v>
      </c>
      <c r="G113" s="92">
        <f>J113+I113</f>
        <v>392308.1</v>
      </c>
      <c r="H113" s="99">
        <f>G113*100/D113</f>
        <v>98.077025</v>
      </c>
      <c r="I113" s="92"/>
      <c r="J113" s="92">
        <f>34620+105675.75+15750+116101.6+100944+19216.75</f>
        <v>392308.1</v>
      </c>
      <c r="K113" s="92">
        <f>N113+M113</f>
        <v>7685</v>
      </c>
      <c r="L113" s="99">
        <f>K113*100/D113</f>
        <v>1.92125</v>
      </c>
      <c r="M113" s="92"/>
      <c r="N113" s="92">
        <f>7685</f>
        <v>7685</v>
      </c>
      <c r="O113" s="92">
        <f>D113-G113-K113</f>
        <v>6.900000000023283</v>
      </c>
      <c r="P113" s="92">
        <f>O113*100/D113</f>
        <v>0.0017250000000058208</v>
      </c>
      <c r="Q113" s="91">
        <f>E113-I113-M113</f>
        <v>0</v>
      </c>
      <c r="R113" s="92">
        <f>F113-J113-N113</f>
        <v>6.900000000023283</v>
      </c>
    </row>
    <row r="114" spans="1:18" s="112" customFormat="1" ht="18" customHeight="1">
      <c r="A114" s="100"/>
      <c r="B114" s="87" t="s">
        <v>85</v>
      </c>
      <c r="C114" s="107"/>
      <c r="D114" s="147"/>
      <c r="E114" s="148"/>
      <c r="F114" s="147"/>
      <c r="G114" s="197"/>
      <c r="H114" s="99"/>
      <c r="I114" s="197"/>
      <c r="J114" s="99"/>
      <c r="K114" s="197"/>
      <c r="L114" s="99"/>
      <c r="M114" s="197"/>
      <c r="N114" s="197"/>
      <c r="O114" s="99"/>
      <c r="P114" s="111"/>
      <c r="Q114" s="110"/>
      <c r="R114" s="111"/>
    </row>
    <row r="115" spans="1:18" s="112" customFormat="1" ht="18" customHeight="1">
      <c r="A115" s="100">
        <v>1.4</v>
      </c>
      <c r="B115" s="86" t="s">
        <v>96</v>
      </c>
      <c r="C115" s="107"/>
      <c r="D115" s="147"/>
      <c r="E115" s="148"/>
      <c r="F115" s="147"/>
      <c r="G115" s="197"/>
      <c r="H115" s="99"/>
      <c r="I115" s="197"/>
      <c r="J115" s="99"/>
      <c r="K115" s="197"/>
      <c r="L115" s="99"/>
      <c r="M115" s="197"/>
      <c r="N115" s="197"/>
      <c r="O115" s="99"/>
      <c r="P115" s="111"/>
      <c r="Q115" s="110"/>
      <c r="R115" s="111"/>
    </row>
    <row r="116" spans="1:18" s="112" customFormat="1" ht="18" customHeight="1">
      <c r="A116" s="100"/>
      <c r="B116" s="87" t="s">
        <v>81</v>
      </c>
      <c r="C116" s="88" t="s">
        <v>203</v>
      </c>
      <c r="D116" s="117">
        <f>F116+E116</f>
        <v>400000</v>
      </c>
      <c r="E116" s="98"/>
      <c r="F116" s="117">
        <v>400000</v>
      </c>
      <c r="G116" s="92">
        <f>J116+I116</f>
        <v>399685.75</v>
      </c>
      <c r="H116" s="99">
        <f>G116*100/D116</f>
        <v>99.9214375</v>
      </c>
      <c r="I116" s="92"/>
      <c r="J116" s="92">
        <f>192780+46371.15+17240+34140+26705.2+50162.55+25031.5+7255.35</f>
        <v>399685.75</v>
      </c>
      <c r="K116" s="92">
        <f>N116+M116</f>
        <v>139.99999999999636</v>
      </c>
      <c r="L116" s="99">
        <f>K116*100/D116</f>
        <v>0.03499999999999909</v>
      </c>
      <c r="M116" s="92"/>
      <c r="N116" s="92">
        <f>19625.2+7220+25031.5-26705.2-25031.5</f>
        <v>139.99999999999636</v>
      </c>
      <c r="O116" s="92">
        <f>D116-G116-K116</f>
        <v>174.25000000000364</v>
      </c>
      <c r="P116" s="92">
        <f>O116*100/D116</f>
        <v>0.043562500000000906</v>
      </c>
      <c r="Q116" s="91">
        <f>E116-I116-M116</f>
        <v>0</v>
      </c>
      <c r="R116" s="92">
        <f>F116-J116-N116</f>
        <v>174.25000000000364</v>
      </c>
    </row>
    <row r="117" spans="1:18" s="112" customFormat="1" ht="18" customHeight="1">
      <c r="A117" s="100"/>
      <c r="B117" s="87" t="s">
        <v>95</v>
      </c>
      <c r="C117" s="107"/>
      <c r="D117" s="147"/>
      <c r="E117" s="148"/>
      <c r="F117" s="147"/>
      <c r="G117" s="197"/>
      <c r="H117" s="99"/>
      <c r="I117" s="197"/>
      <c r="J117" s="99"/>
      <c r="K117" s="197"/>
      <c r="L117" s="99"/>
      <c r="M117" s="197"/>
      <c r="N117" s="197"/>
      <c r="O117" s="99"/>
      <c r="P117" s="111"/>
      <c r="Q117" s="110"/>
      <c r="R117" s="111"/>
    </row>
    <row r="118" spans="1:19" s="112" customFormat="1" ht="18" customHeight="1">
      <c r="A118" s="100">
        <v>1.5</v>
      </c>
      <c r="B118" s="86" t="s">
        <v>97</v>
      </c>
      <c r="C118" s="107"/>
      <c r="D118" s="147"/>
      <c r="E118" s="148"/>
      <c r="F118" s="147"/>
      <c r="G118" s="197"/>
      <c r="H118" s="99"/>
      <c r="I118" s="197"/>
      <c r="J118" s="99"/>
      <c r="K118" s="197"/>
      <c r="L118" s="99"/>
      <c r="M118" s="197"/>
      <c r="N118" s="197"/>
      <c r="O118" s="99"/>
      <c r="P118" s="111"/>
      <c r="Q118" s="110"/>
      <c r="R118" s="111"/>
      <c r="S118" s="112">
        <v>4</v>
      </c>
    </row>
    <row r="119" spans="1:18" s="112" customFormat="1" ht="18" customHeight="1">
      <c r="A119" s="100"/>
      <c r="B119" s="87" t="s">
        <v>82</v>
      </c>
      <c r="C119" s="88" t="s">
        <v>203</v>
      </c>
      <c r="D119" s="117">
        <f>F119+E119</f>
        <v>140000</v>
      </c>
      <c r="E119" s="98"/>
      <c r="F119" s="117">
        <v>140000</v>
      </c>
      <c r="G119" s="92">
        <f>J119+I119</f>
        <v>139534.65</v>
      </c>
      <c r="H119" s="99">
        <f>G119*100/D119</f>
        <v>99.66760714285714</v>
      </c>
      <c r="I119" s="92"/>
      <c r="J119" s="92">
        <f>11540+4110+66244.5+52680.15+4960</f>
        <v>139534.65</v>
      </c>
      <c r="K119" s="92">
        <f>N119+M119</f>
        <v>0</v>
      </c>
      <c r="L119" s="99">
        <f>K119*100/D119</f>
        <v>0</v>
      </c>
      <c r="M119" s="92"/>
      <c r="N119" s="92"/>
      <c r="O119" s="92">
        <f>D119-G119-K119</f>
        <v>465.3500000000058</v>
      </c>
      <c r="P119" s="92">
        <f>O119*100/D119</f>
        <v>0.3323928571428613</v>
      </c>
      <c r="Q119" s="91">
        <f>E119-I119-M119</f>
        <v>0</v>
      </c>
      <c r="R119" s="92">
        <f>F119-J119-N119</f>
        <v>465.3500000000058</v>
      </c>
    </row>
    <row r="120" spans="1:18" s="112" customFormat="1" ht="18" customHeight="1">
      <c r="A120" s="100"/>
      <c r="B120" s="87" t="s">
        <v>88</v>
      </c>
      <c r="C120" s="107"/>
      <c r="D120" s="147"/>
      <c r="E120" s="148"/>
      <c r="F120" s="147"/>
      <c r="G120" s="197"/>
      <c r="H120" s="99"/>
      <c r="I120" s="197"/>
      <c r="J120" s="99"/>
      <c r="K120" s="197"/>
      <c r="L120" s="99"/>
      <c r="M120" s="197"/>
      <c r="N120" s="197"/>
      <c r="O120" s="99"/>
      <c r="P120" s="111"/>
      <c r="Q120" s="110"/>
      <c r="R120" s="111"/>
    </row>
    <row r="121" spans="1:18" s="112" customFormat="1" ht="18.75" customHeight="1">
      <c r="A121" s="163"/>
      <c r="B121" s="192" t="s">
        <v>79</v>
      </c>
      <c r="C121" s="193"/>
      <c r="D121" s="198">
        <f>F121+E121</f>
        <v>1130000</v>
      </c>
      <c r="E121" s="199">
        <f>E110+E113+E116+E119</f>
        <v>0</v>
      </c>
      <c r="F121" s="198">
        <f>F110+F113+F116+F119</f>
        <v>1130000</v>
      </c>
      <c r="G121" s="200">
        <f>J121+I121</f>
        <v>1121514.45</v>
      </c>
      <c r="H121" s="195">
        <f>G121*100/D121</f>
        <v>99.24906637168142</v>
      </c>
      <c r="I121" s="200">
        <f>I110+I113+I116+I119</f>
        <v>0</v>
      </c>
      <c r="J121" s="195">
        <f>J110+J113+J116+J119</f>
        <v>1121514.45</v>
      </c>
      <c r="K121" s="200">
        <f>N121+M121</f>
        <v>7824.999999999996</v>
      </c>
      <c r="L121" s="202">
        <f>K121*100/D121</f>
        <v>0.6924778761061944</v>
      </c>
      <c r="M121" s="200">
        <f>M110+M113+M116+M119</f>
        <v>0</v>
      </c>
      <c r="N121" s="200">
        <f>N110+N113+N116+N119</f>
        <v>7824.999999999996</v>
      </c>
      <c r="O121" s="195">
        <f>D121-G121-K121</f>
        <v>660.5500000000502</v>
      </c>
      <c r="P121" s="195">
        <f>O121*100/D121</f>
        <v>0.058455752212393824</v>
      </c>
      <c r="Q121" s="194"/>
      <c r="R121" s="195">
        <f>F121-J121-N121</f>
        <v>660.5500000000502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208" t="s">
        <v>124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8" ht="15.75" customHeight="1">
      <c r="A2" s="209" t="s">
        <v>0</v>
      </c>
      <c r="B2" s="209" t="s">
        <v>1</v>
      </c>
      <c r="C2" s="212" t="s">
        <v>2</v>
      </c>
      <c r="D2" s="211" t="s">
        <v>3</v>
      </c>
      <c r="E2" s="211"/>
      <c r="F2" s="211"/>
      <c r="G2" s="211" t="s">
        <v>7</v>
      </c>
      <c r="H2" s="211"/>
      <c r="I2" s="211"/>
      <c r="J2" s="211"/>
      <c r="K2" s="211" t="s">
        <v>9</v>
      </c>
      <c r="L2" s="211"/>
      <c r="M2" s="211"/>
      <c r="N2" s="211"/>
      <c r="O2" s="211" t="s">
        <v>10</v>
      </c>
      <c r="P2" s="211"/>
      <c r="Q2" s="211"/>
      <c r="R2" s="211"/>
    </row>
    <row r="3" spans="1:18" ht="14.25" customHeight="1">
      <c r="A3" s="209"/>
      <c r="B3" s="209"/>
      <c r="C3" s="212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2018-03-31T08:57:04Z</cp:lastPrinted>
  <dcterms:created xsi:type="dcterms:W3CDTF">2009-12-25T03:29:35Z</dcterms:created>
  <dcterms:modified xsi:type="dcterms:W3CDTF">2018-03-31T08:59:16Z</dcterms:modified>
  <cp:category/>
  <cp:version/>
  <cp:contentType/>
  <cp:contentStatus/>
</cp:coreProperties>
</file>